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neDrive - Maharashtra State Power Generation Co. Ltd\Share Folder CA Section\RCD\2022-23\"/>
    </mc:Choice>
  </mc:AlternateContent>
  <bookViews>
    <workbookView xWindow="0" yWindow="0" windowWidth="28800" windowHeight="12180" tabRatio="878" firstSheet="2" activeTab="6"/>
  </bookViews>
  <sheets>
    <sheet name="Index" sheetId="135" r:id="rId1"/>
    <sheet name="Balance sheet" sheetId="107" r:id="rId2"/>
    <sheet name="Profit loss" sheetId="108" r:id="rId3"/>
    <sheet name="CashFlow" sheetId="110" r:id="rId4"/>
    <sheet name="3" sheetId="43" r:id="rId5"/>
    <sheet name="4" sheetId="62" r:id="rId6"/>
    <sheet name="5.1" sheetId="105" r:id="rId7"/>
    <sheet name="5.2" sheetId="91" r:id="rId8"/>
    <sheet name="6 &amp; 7" sheetId="92" r:id="rId9"/>
    <sheet name="8" sheetId="85" r:id="rId10"/>
    <sheet name="9" sheetId="29" r:id="rId11"/>
    <sheet name="10" sheetId="118" r:id="rId12"/>
    <sheet name="11" sheetId="124" r:id="rId13"/>
    <sheet name="12" sheetId="22" r:id="rId14"/>
    <sheet name="13" sheetId="23" r:id="rId15"/>
    <sheet name="14" sheetId="120" r:id="rId16"/>
    <sheet name="15" sheetId="26" r:id="rId17"/>
    <sheet name="16 &amp; 17" sheetId="89" r:id="rId18"/>
    <sheet name="18" sheetId="87" r:id="rId19"/>
    <sheet name="19" sheetId="119" r:id="rId20"/>
    <sheet name="20 &amp; 21" sheetId="1" r:id="rId21"/>
    <sheet name="22 &amp; 22.1" sheetId="134" r:id="rId22"/>
    <sheet name="23" sheetId="7" r:id="rId23"/>
    <sheet name="24 &amp; 25" sheetId="11" r:id="rId24"/>
    <sheet name="26" sheetId="93" r:id="rId25"/>
    <sheet name="27" sheetId="9" r:id="rId26"/>
    <sheet name="28 &amp; 29" sheetId="5" r:id="rId27"/>
    <sheet name="30" sheetId="106" r:id="rId28"/>
    <sheet name="Balance Sheet and P&amp;L" sheetId="148" r:id="rId29"/>
    <sheet name="balance sheet grouping" sheetId="149" r:id="rId30"/>
    <sheet name="p &amp; l grouping" sheetId="150" r:id="rId31"/>
    <sheet name="Statement of changes in equity" sheetId="151" state="hidden" r:id="rId32"/>
    <sheet name="CFS" sheetId="152" r:id="rId33"/>
    <sheet name="Share Capital" sheetId="156" r:id="rId34"/>
    <sheet name="FA Final" sheetId="153" r:id="rId35"/>
    <sheet name="Note 1A" sheetId="154" r:id="rId36"/>
    <sheet name="cwip (2)" sheetId="155" r:id="rId37"/>
    <sheet name="Rep LT" sheetId="157" r:id="rId38"/>
    <sheet name="Rep terms ST" sheetId="158"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____tog1">#REF!</definedName>
    <definedName name="_____z1">#REF!</definedName>
    <definedName name="___INDEX_SHEET___ASAP_Utilities">Index!$D$3</definedName>
    <definedName name="__123Graph_F" hidden="1">'[1]BALANCE SHEET'!$M$58:$M$67</definedName>
    <definedName name="_083_2014">#REF!</definedName>
    <definedName name="alte2">[2]alte!$C$4:$M$63</definedName>
    <definedName name="alte5">[2]alte!$C$4:$M$63</definedName>
    <definedName name="anand">[3]Sheet3!$D$7</definedName>
    <definedName name="AS2ReportLS" hidden="1">1</definedName>
    <definedName name="AS2SyncStepLS" hidden="1">0</definedName>
    <definedName name="asset1">[4]Sheet2!$A$2:$AH$1408</definedName>
    <definedName name="BG_Mod" hidden="1">6</definedName>
    <definedName name="BHI">[5]Bhivandi!$B$8:$Q$125</definedName>
    <definedName name="Coal_FO_Ldo_CSTPS">#N/A</definedName>
    <definedName name="CURRAPPLI">[6]Settings!$E$9</definedName>
    <definedName name="Currency">'[7]x-rate'!$A$2:$B$10</definedName>
    <definedName name="_xlnm.Database">#REF!</definedName>
    <definedName name="EV__LASTREFTIME__" hidden="1">"(GMT+05:30)5/14/2016 12:27:02 PM"</definedName>
    <definedName name="EV__MAXEXPCOLS__" hidden="1">100</definedName>
    <definedName name="EV__MAXEXPROWS__" hidden="1">1000</definedName>
    <definedName name="EV__MEMORYCVW__" hidden="1">0</definedName>
    <definedName name="EV__WBEVMODE__" hidden="1">0</definedName>
    <definedName name="EV__WBREFOPTIONS__" hidden="1">134217732</definedName>
    <definedName name="EV__WBVERSION__" hidden="1">0</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L_CY_Beg">[8]Links!$F$1:$F$65536</definedName>
    <definedName name="L_CY_End">[8]Links!$J$1:$J$65536</definedName>
    <definedName name="L_PY_End">[8]Links!$K$1:$K$65536</definedName>
    <definedName name="L_RJE_Tot">[8]Links!$I$1:$I$65536</definedName>
    <definedName name="LAC">'[9]Trial Balance - MARCH 2006'!$I$2</definedName>
    <definedName name="paiddba">SUM('[10]pa-mtly'!$O$22:$S$22)</definedName>
    <definedName name="paiddelavan">SUM('[10]pa-mtly'!$O$20:$S$20)</definedName>
    <definedName name="paiddkm51">SUM('[10]pa-mtly'!$O$24:$S$24)</definedName>
    <definedName name="paiddkm52">SUM('[10]pa-mtly'!$O$25:$S$25)</definedName>
    <definedName name="paidemba">SUM('[10]pa-mtly'!$O$30:$S$30)</definedName>
    <definedName name="paidenviro">SUM('[10]pa-mtly'!$O$31:$S$31)</definedName>
    <definedName name="paidflowserve">SUM('[10]pa-mtly'!$O$36:$S$36)</definedName>
    <definedName name="paidfmc">SUM('[10]pa-mtly'!$O$37:$S$37)</definedName>
    <definedName name="paidgeveke149">SUM('[10]pa-mtly'!$O$40:$S$40)</definedName>
    <definedName name="paidgeveke80">SUM('[10]pa-mtly'!$O$39:$S$39)</definedName>
    <definedName name="paidgeveke81">SUM('[10]pa-mtly'!$O$41:$S$41)</definedName>
    <definedName name="paidghhb">SUM('[10]pa-mtly'!$O$42:$S$42)</definedName>
    <definedName name="paidgutor110">SUM('[10]pa-mtly'!$O$46:$S$46)</definedName>
    <definedName name="paidgutor96">SUM('[10]pa-mtly'!$O$45:$S$45)</definedName>
    <definedName name="paidhamw">SUM('[10]pa-mtly'!$O$47:$S$47)</definedName>
    <definedName name="paidheurtey">SUM('[10]pa-mtly'!$O$47:$S$47)</definedName>
    <definedName name="paidhmd">SUM('[10]pa-mtly'!$O$50:$S$50)</definedName>
    <definedName name="paidhydro">SUM('[10]pa-mtly'!$O$54:$S$54)</definedName>
    <definedName name="paidklinger">SUM('[10]pa-mtly'!$O$63:$S$63)</definedName>
    <definedName name="paidkoch">SUM('[10]pa-mtly'!$O$64:$S$64)</definedName>
    <definedName name="paidkuervers">SUM('[10]pa-mtly'!$O$72:$S$72)</definedName>
    <definedName name="paidliebert">SUM('[10]pa-mtly'!$O$76:$S$76)</definedName>
    <definedName name="paidliebherr">SUM('[10]pa-mtly'!$O$75:$S$75)</definedName>
    <definedName name="paidmann">SUM('[10]pa-mtly'!$P$80:$S$80)</definedName>
    <definedName name="paidmrm">SUM('[10]pa-mtly'!$O$88:$S$88)</definedName>
    <definedName name="paidnat">SUM('[10]pa-mtly'!$O$89:$S$89)</definedName>
    <definedName name="paidnp">SUM('[10]pa-mtly'!$O$95:$S$95)</definedName>
    <definedName name="paidods">SUM('[10]pa-mtly'!$O$109:$S$109)</definedName>
    <definedName name="paidoxybel951">SUM('[10]pa-mtly'!$O$118:$S$118)</definedName>
    <definedName name="paidoxybel952">SUM('[10]pa-mtly'!$O$119:$S$119)</definedName>
    <definedName name="paidpirelli">SUM('[10]pa-mtly'!$O$126:$S$126)</definedName>
    <definedName name="paidsafex">SUM('[10]pa-mtly'!$O$130:$S$130)</definedName>
    <definedName name="paidschulz">SUM('[10]pa-mtly'!$O$132:$S$132)</definedName>
    <definedName name="paidsirco">SUM('[10]pa-mtly'!$O$140:$S$140)</definedName>
    <definedName name="paidtaprogge">SUM('[10]pa-mtly'!$O$145:$S$145)</definedName>
    <definedName name="paidthermoheat165">SUM('[10]pa-mtly'!$O$148:$S$148)</definedName>
    <definedName name="paidthermoheat175">SUM('[10]pa-mtly'!$O$149:$S$149)</definedName>
    <definedName name="paidyokogawa">SUM('[10]pa-mtly'!$O$161:$S$161)</definedName>
    <definedName name="paidyork">SUM('[10]pa-mtly'!$O$162:$S$162)</definedName>
    <definedName name="_xlnm.Print_Area" localSheetId="11">'10'!$A$1:$E$16</definedName>
    <definedName name="_xlnm.Print_Area" localSheetId="12">'11'!$A$1:$K$26</definedName>
    <definedName name="_xlnm.Print_Area" localSheetId="13">'12'!$A$1:$E$30</definedName>
    <definedName name="_xlnm.Print_Area" localSheetId="14">'13'!$A$1:$E$35</definedName>
    <definedName name="_xlnm.Print_Area" localSheetId="15">'14'!$A$1:$E$28</definedName>
    <definedName name="_xlnm.Print_Area" localSheetId="16">'15'!$A$1:$E$26</definedName>
    <definedName name="_xlnm.Print_Area" localSheetId="17">'16 &amp; 17'!$A$1:$E$40</definedName>
    <definedName name="_xlnm.Print_Area" localSheetId="18">'18'!$A$1:$E$27</definedName>
    <definedName name="_xlnm.Print_Area" localSheetId="19">'19'!$A$1:$E$46</definedName>
    <definedName name="_xlnm.Print_Area" localSheetId="20">'20 &amp; 21'!$A$1:$E$70</definedName>
    <definedName name="_xlnm.Print_Area" localSheetId="21">'22 &amp; 22.1'!$A$1:$E$32</definedName>
    <definedName name="_xlnm.Print_Area" localSheetId="22">'23'!$A$1:$E$42</definedName>
    <definedName name="_xlnm.Print_Area" localSheetId="23">'24 &amp; 25'!$A$1:$E$47</definedName>
    <definedName name="_xlnm.Print_Area" localSheetId="24">'26'!$A$1:$E$27</definedName>
    <definedName name="_xlnm.Print_Area" localSheetId="25">'27'!$A$1:$E$54</definedName>
    <definedName name="_xlnm.Print_Area" localSheetId="26">'28 &amp; 29'!$A$1:$E$34</definedName>
    <definedName name="_xlnm.Print_Area" localSheetId="4">'3'!$A$1:$E$18</definedName>
    <definedName name="_xlnm.Print_Area" localSheetId="27">'30'!$A$1:$I$18</definedName>
    <definedName name="_xlnm.Print_Area" localSheetId="5">'4'!$A$1:$E$38</definedName>
    <definedName name="_xlnm.Print_Area" localSheetId="6">'5.1'!$A$1:$M$191</definedName>
    <definedName name="_xlnm.Print_Area" localSheetId="7">'5.2'!$A$1:$M$21</definedName>
    <definedName name="_xlnm.Print_Area" localSheetId="8">'6 &amp; 7'!$A$1:$E$34</definedName>
    <definedName name="_xlnm.Print_Area" localSheetId="9">'8'!$A$1:$G$37</definedName>
    <definedName name="_xlnm.Print_Area" localSheetId="10">'9'!$A$1:$E$55</definedName>
    <definedName name="_xlnm.Print_Area" localSheetId="1">'Balance sheet'!$A$1:$G$63</definedName>
    <definedName name="_xlnm.Print_Area" localSheetId="3">CashFlow!$A$1:$F$72</definedName>
    <definedName name="_xlnm.Print_Area" localSheetId="0">Index!$B$3:$E$34</definedName>
    <definedName name="_xlnm.Print_Area" localSheetId="2">'Profit loss'!$A$1:$G$36</definedName>
    <definedName name="_xlnm.Print_Area">#REF!</definedName>
    <definedName name="_xlnm.Print_Titles" localSheetId="27">'30'!$7:$7</definedName>
    <definedName name="_xlnm.Print_Titles">#REF!</definedName>
    <definedName name="ROff">'[11]Instruction Sheet'!$D$33</definedName>
    <definedName name="SL">[12]Details!$D$195</definedName>
    <definedName name="TAName">[13]Masters!$C$20</definedName>
    <definedName name="TAPlace">[13]Masters!$C$43</definedName>
    <definedName name="TaxTV">10%</definedName>
    <definedName name="TaxXL">5%</definedName>
    <definedName name="tb">[14]TRIALBALANCE!$A$5:$H$255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11" l="1"/>
  <c r="E28" i="5" l="1"/>
  <c r="H51" i="105" l="1"/>
  <c r="G51" i="105"/>
  <c r="F51" i="105"/>
  <c r="H183" i="105"/>
  <c r="G183" i="105"/>
  <c r="F183" i="105"/>
  <c r="H18" i="91"/>
  <c r="G18" i="91"/>
  <c r="F18" i="91"/>
  <c r="H173" i="105"/>
  <c r="G173" i="105"/>
  <c r="F173" i="105"/>
  <c r="M51" i="105"/>
  <c r="L51" i="105"/>
  <c r="K51" i="105"/>
  <c r="E56" i="110"/>
  <c r="E52" i="110"/>
  <c r="E50" i="110"/>
  <c r="E49" i="110"/>
  <c r="F185" i="105" l="1"/>
  <c r="G185" i="105"/>
  <c r="H185" i="105"/>
  <c r="E15" i="110" l="1"/>
  <c r="C15" i="110"/>
  <c r="E31" i="5" l="1"/>
  <c r="G26" i="108" s="1"/>
  <c r="E27" i="5"/>
  <c r="E27" i="9"/>
  <c r="E13" i="11"/>
  <c r="D13" i="11"/>
  <c r="E19" i="1" l="1"/>
  <c r="D19" i="1"/>
  <c r="K173" i="105" l="1"/>
  <c r="L183" i="105"/>
  <c r="M173" i="105"/>
  <c r="L173" i="105"/>
  <c r="K183" i="105"/>
  <c r="M18" i="91"/>
  <c r="L18" i="91"/>
  <c r="K18" i="91"/>
  <c r="L185" i="105" l="1"/>
  <c r="K185" i="105"/>
  <c r="G25" i="85" l="1"/>
  <c r="F25" i="85"/>
  <c r="F23" i="85"/>
  <c r="G31" i="85" l="1"/>
  <c r="M177" i="105" l="1"/>
  <c r="M183" i="105" s="1"/>
  <c r="M185" i="105" s="1"/>
  <c r="E19" i="22" l="1"/>
  <c r="E18" i="22"/>
  <c r="E16" i="22"/>
  <c r="E15" i="22"/>
  <c r="E14" i="22"/>
  <c r="E13" i="22"/>
  <c r="E12" i="22"/>
  <c r="E11" i="22"/>
  <c r="E10" i="22"/>
  <c r="D19" i="22" l="1"/>
  <c r="D18" i="22"/>
  <c r="D15" i="22"/>
  <c r="D14" i="22"/>
  <c r="D13" i="22"/>
  <c r="D12" i="22"/>
  <c r="D11" i="22"/>
  <c r="D10" i="22"/>
  <c r="G42" i="107" l="1"/>
  <c r="F42" i="107"/>
  <c r="E27" i="22"/>
  <c r="D27" i="22"/>
  <c r="E26" i="22"/>
  <c r="G41" i="107" s="1"/>
  <c r="G23" i="107" l="1"/>
  <c r="E29" i="92"/>
  <c r="G13" i="107"/>
  <c r="F13" i="107"/>
  <c r="F31" i="85"/>
  <c r="E15" i="43" l="1"/>
  <c r="D15" i="43"/>
  <c r="E13" i="43"/>
  <c r="D13" i="43"/>
  <c r="E11" i="43"/>
  <c r="D11" i="43"/>
  <c r="E9" i="43"/>
  <c r="D9" i="43"/>
  <c r="F37" i="158" l="1"/>
  <c r="F28" i="158"/>
  <c r="E25" i="158"/>
  <c r="F23" i="158"/>
  <c r="F20" i="158"/>
  <c r="F19" i="158"/>
  <c r="F17" i="158"/>
  <c r="F15" i="158"/>
  <c r="F14" i="158"/>
  <c r="F13" i="158"/>
  <c r="F12" i="158"/>
  <c r="F11" i="158"/>
  <c r="F10" i="158"/>
  <c r="F9" i="158"/>
  <c r="F8" i="158"/>
  <c r="F7" i="158"/>
  <c r="F6" i="158"/>
  <c r="F5" i="158"/>
  <c r="F4" i="158"/>
  <c r="I166" i="157"/>
  <c r="H165" i="157"/>
  <c r="K164" i="157"/>
  <c r="H164" i="157"/>
  <c r="J163" i="157"/>
  <c r="R163" i="157" s="1"/>
  <c r="R162" i="157"/>
  <c r="J162" i="157"/>
  <c r="K162" i="157" s="1"/>
  <c r="L162" i="157" s="1"/>
  <c r="R161" i="157"/>
  <c r="L161" i="157"/>
  <c r="K161" i="157"/>
  <c r="R160" i="157"/>
  <c r="J160" i="157"/>
  <c r="K160" i="157" s="1"/>
  <c r="L160" i="157" s="1"/>
  <c r="R159" i="157"/>
  <c r="K159" i="157"/>
  <c r="L159" i="157" s="1"/>
  <c r="J158" i="157"/>
  <c r="K158" i="157" s="1"/>
  <c r="L158" i="157" s="1"/>
  <c r="R157" i="157"/>
  <c r="L157" i="157"/>
  <c r="K157" i="157"/>
  <c r="J156" i="157"/>
  <c r="K156" i="157" s="1"/>
  <c r="L156" i="157" s="1"/>
  <c r="R155" i="157"/>
  <c r="K155" i="157"/>
  <c r="L155" i="157" s="1"/>
  <c r="R154" i="157"/>
  <c r="K154" i="157"/>
  <c r="L154" i="157" s="1"/>
  <c r="J154" i="157"/>
  <c r="R153" i="157"/>
  <c r="K153" i="157"/>
  <c r="L153" i="157" s="1"/>
  <c r="R152" i="157"/>
  <c r="K152" i="157"/>
  <c r="L152" i="157" s="1"/>
  <c r="R151" i="157"/>
  <c r="J151" i="157"/>
  <c r="K151" i="157" s="1"/>
  <c r="L151" i="157" s="1"/>
  <c r="R150" i="157"/>
  <c r="J150" i="157"/>
  <c r="K150" i="157" s="1"/>
  <c r="L150" i="157" s="1"/>
  <c r="J149" i="157"/>
  <c r="R149" i="157" s="1"/>
  <c r="R148" i="157"/>
  <c r="J148" i="157"/>
  <c r="K148" i="157" s="1"/>
  <c r="L148" i="157" s="1"/>
  <c r="R147" i="157"/>
  <c r="J147" i="157"/>
  <c r="K147" i="157" s="1"/>
  <c r="L147" i="157" s="1"/>
  <c r="R146" i="157"/>
  <c r="K146" i="157"/>
  <c r="L146" i="157" s="1"/>
  <c r="J145" i="157"/>
  <c r="R145" i="157" s="1"/>
  <c r="R144" i="157"/>
  <c r="L144" i="157"/>
  <c r="K144" i="157"/>
  <c r="J144" i="157"/>
  <c r="J143" i="157"/>
  <c r="R143" i="157" s="1"/>
  <c r="J142" i="157"/>
  <c r="R142" i="157" s="1"/>
  <c r="R141" i="157"/>
  <c r="L141" i="157"/>
  <c r="K141" i="157"/>
  <c r="R140" i="157"/>
  <c r="K140" i="157"/>
  <c r="L140" i="157" s="1"/>
  <c r="R139" i="157"/>
  <c r="J139" i="157"/>
  <c r="K139" i="157" s="1"/>
  <c r="L139" i="157" s="1"/>
  <c r="R138" i="157"/>
  <c r="L138" i="157"/>
  <c r="K138" i="157"/>
  <c r="J138" i="157"/>
  <c r="R137" i="157"/>
  <c r="J137" i="157"/>
  <c r="K137" i="157" s="1"/>
  <c r="L137" i="157" s="1"/>
  <c r="J136" i="157"/>
  <c r="R135" i="157"/>
  <c r="K135" i="157"/>
  <c r="L135" i="157" s="1"/>
  <c r="R134" i="157"/>
  <c r="K134" i="157"/>
  <c r="L134" i="157" s="1"/>
  <c r="R133" i="157"/>
  <c r="K133" i="157"/>
  <c r="L133" i="157" s="1"/>
  <c r="K132" i="157"/>
  <c r="L132" i="157" s="1"/>
  <c r="J132" i="157"/>
  <c r="R132" i="157" s="1"/>
  <c r="R131" i="157"/>
  <c r="K131" i="157"/>
  <c r="L131" i="157" s="1"/>
  <c r="J131" i="157"/>
  <c r="R130" i="157"/>
  <c r="K130" i="157"/>
  <c r="L130" i="157" s="1"/>
  <c r="R129" i="157"/>
  <c r="J129" i="157"/>
  <c r="K129" i="157" s="1"/>
  <c r="L129" i="157" s="1"/>
  <c r="R128" i="157"/>
  <c r="L128" i="157"/>
  <c r="K128" i="157"/>
  <c r="R127" i="157"/>
  <c r="K127" i="157"/>
  <c r="L127" i="157" s="1"/>
  <c r="R126" i="157"/>
  <c r="J126" i="157"/>
  <c r="K126" i="157" s="1"/>
  <c r="L126" i="157" s="1"/>
  <c r="R125" i="157"/>
  <c r="K125" i="157"/>
  <c r="L125" i="157" s="1"/>
  <c r="R124" i="157"/>
  <c r="L124" i="157"/>
  <c r="K124" i="157"/>
  <c r="R123" i="157"/>
  <c r="L123" i="157"/>
  <c r="K123" i="157"/>
  <c r="R122" i="157"/>
  <c r="K122" i="157"/>
  <c r="L122" i="157" s="1"/>
  <c r="R121" i="157"/>
  <c r="J121" i="157"/>
  <c r="K121" i="157" s="1"/>
  <c r="L121" i="157" s="1"/>
  <c r="R120" i="157"/>
  <c r="J120" i="157"/>
  <c r="K120" i="157" s="1"/>
  <c r="L120" i="157" s="1"/>
  <c r="R119" i="157"/>
  <c r="K119" i="157"/>
  <c r="L119" i="157" s="1"/>
  <c r="R118" i="157"/>
  <c r="K118" i="157"/>
  <c r="L118" i="157" s="1"/>
  <c r="R117" i="157"/>
  <c r="K117" i="157"/>
  <c r="L117" i="157" s="1"/>
  <c r="R116" i="157"/>
  <c r="K116" i="157"/>
  <c r="L116" i="157" s="1"/>
  <c r="R115" i="157"/>
  <c r="K115" i="157"/>
  <c r="L115" i="157" s="1"/>
  <c r="R114" i="157"/>
  <c r="K114" i="157"/>
  <c r="L114" i="157" s="1"/>
  <c r="R113" i="157"/>
  <c r="K113" i="157"/>
  <c r="L113" i="157" s="1"/>
  <c r="R112" i="157"/>
  <c r="K112" i="157"/>
  <c r="L112" i="157" s="1"/>
  <c r="R111" i="157"/>
  <c r="K111" i="157"/>
  <c r="L111" i="157" s="1"/>
  <c r="R110" i="157"/>
  <c r="K110" i="157"/>
  <c r="L110" i="157" s="1"/>
  <c r="R109" i="157"/>
  <c r="K109" i="157"/>
  <c r="L109" i="157" s="1"/>
  <c r="R108" i="157"/>
  <c r="K108" i="157"/>
  <c r="L108" i="157" s="1"/>
  <c r="R107" i="157"/>
  <c r="K107" i="157"/>
  <c r="L107" i="157" s="1"/>
  <c r="R106" i="157"/>
  <c r="K106" i="157"/>
  <c r="L106" i="157" s="1"/>
  <c r="R105" i="157"/>
  <c r="K105" i="157"/>
  <c r="L105" i="157" s="1"/>
  <c r="R104" i="157"/>
  <c r="K104" i="157"/>
  <c r="L104" i="157" s="1"/>
  <c r="R103" i="157"/>
  <c r="J103" i="157"/>
  <c r="K103" i="157" s="1"/>
  <c r="L103" i="157" s="1"/>
  <c r="R102" i="157"/>
  <c r="J102" i="157"/>
  <c r="K102" i="157" s="1"/>
  <c r="L102" i="157" s="1"/>
  <c r="R101" i="157"/>
  <c r="L101" i="157"/>
  <c r="K101" i="157"/>
  <c r="R100" i="157"/>
  <c r="K100" i="157"/>
  <c r="L100" i="157" s="1"/>
  <c r="R99" i="157"/>
  <c r="K99" i="157"/>
  <c r="L99" i="157" s="1"/>
  <c r="R98" i="157"/>
  <c r="K98" i="157"/>
  <c r="L98" i="157" s="1"/>
  <c r="R97" i="157"/>
  <c r="L97" i="157"/>
  <c r="K97" i="157"/>
  <c r="R96" i="157"/>
  <c r="K96" i="157"/>
  <c r="L96" i="157" s="1"/>
  <c r="R95" i="157"/>
  <c r="K95" i="157"/>
  <c r="L95" i="157" s="1"/>
  <c r="R94" i="157"/>
  <c r="L94" i="157"/>
  <c r="K94" i="157"/>
  <c r="R93" i="157"/>
  <c r="J93" i="157"/>
  <c r="K93" i="157" s="1"/>
  <c r="L93" i="157" s="1"/>
  <c r="R92" i="157"/>
  <c r="K92" i="157"/>
  <c r="L92" i="157" s="1"/>
  <c r="R91" i="157"/>
  <c r="K91" i="157"/>
  <c r="L91" i="157" s="1"/>
  <c r="R90" i="157"/>
  <c r="K90" i="157"/>
  <c r="L90" i="157" s="1"/>
  <c r="R89" i="157"/>
  <c r="K89" i="157"/>
  <c r="L89" i="157" s="1"/>
  <c r="R88" i="157"/>
  <c r="J88" i="157"/>
  <c r="K88" i="157" s="1"/>
  <c r="L88" i="157" s="1"/>
  <c r="R87" i="157"/>
  <c r="K87" i="157"/>
  <c r="L87" i="157" s="1"/>
  <c r="R86" i="157"/>
  <c r="K86" i="157"/>
  <c r="L86" i="157" s="1"/>
  <c r="J86" i="157"/>
  <c r="R85" i="157"/>
  <c r="K85" i="157"/>
  <c r="L85" i="157" s="1"/>
  <c r="R84" i="157"/>
  <c r="K84" i="157"/>
  <c r="L84" i="157" s="1"/>
  <c r="R83" i="157"/>
  <c r="K83" i="157"/>
  <c r="L83" i="157" s="1"/>
  <c r="R82" i="157"/>
  <c r="L82" i="157"/>
  <c r="K82" i="157"/>
  <c r="R81" i="157"/>
  <c r="K81" i="157"/>
  <c r="L81" i="157" s="1"/>
  <c r="R80" i="157"/>
  <c r="K80" i="157"/>
  <c r="L80" i="157" s="1"/>
  <c r="R79" i="157"/>
  <c r="K79" i="157"/>
  <c r="L79" i="157" s="1"/>
  <c r="R78" i="157"/>
  <c r="L78" i="157"/>
  <c r="K78" i="157"/>
  <c r="R77" i="157"/>
  <c r="K77" i="157"/>
  <c r="L77" i="157" s="1"/>
  <c r="R76" i="157"/>
  <c r="K76" i="157"/>
  <c r="L76" i="157" s="1"/>
  <c r="R75" i="157"/>
  <c r="L75" i="157"/>
  <c r="K75" i="157"/>
  <c r="R74" i="157"/>
  <c r="L74" i="157"/>
  <c r="K74" i="157"/>
  <c r="R73" i="157"/>
  <c r="K73" i="157"/>
  <c r="L73" i="157" s="1"/>
  <c r="R72" i="157"/>
  <c r="K72" i="157"/>
  <c r="L72" i="157" s="1"/>
  <c r="R71" i="157"/>
  <c r="K71" i="157"/>
  <c r="L71" i="157" s="1"/>
  <c r="R70" i="157"/>
  <c r="L70" i="157"/>
  <c r="K70" i="157"/>
  <c r="R69" i="157"/>
  <c r="K69" i="157"/>
  <c r="L69" i="157" s="1"/>
  <c r="R68" i="157"/>
  <c r="K68" i="157"/>
  <c r="L68" i="157" s="1"/>
  <c r="R67" i="157"/>
  <c r="K67" i="157"/>
  <c r="L67" i="157" s="1"/>
  <c r="R66" i="157"/>
  <c r="L66" i="157"/>
  <c r="K66" i="157"/>
  <c r="R65" i="157"/>
  <c r="K65" i="157"/>
  <c r="L65" i="157" s="1"/>
  <c r="R64" i="157"/>
  <c r="J64" i="157"/>
  <c r="K64" i="157" s="1"/>
  <c r="L64" i="157" s="1"/>
  <c r="R63" i="157"/>
  <c r="K63" i="157"/>
  <c r="L63" i="157" s="1"/>
  <c r="R62" i="157"/>
  <c r="K62" i="157"/>
  <c r="L62" i="157" s="1"/>
  <c r="R61" i="157"/>
  <c r="K61" i="157"/>
  <c r="L61" i="157" s="1"/>
  <c r="R60" i="157"/>
  <c r="K60" i="157"/>
  <c r="L60" i="157" s="1"/>
  <c r="R59" i="157"/>
  <c r="K59" i="157"/>
  <c r="L59" i="157" s="1"/>
  <c r="R58" i="157"/>
  <c r="K58" i="157"/>
  <c r="L58" i="157" s="1"/>
  <c r="R57" i="157"/>
  <c r="K57" i="157"/>
  <c r="L57" i="157" s="1"/>
  <c r="J56" i="157"/>
  <c r="R56" i="157" s="1"/>
  <c r="R55" i="157"/>
  <c r="L55" i="157"/>
  <c r="K55" i="157"/>
  <c r="J55" i="157"/>
  <c r="R54" i="157"/>
  <c r="K54" i="157"/>
  <c r="L54" i="157" s="1"/>
  <c r="R53" i="157"/>
  <c r="K53" i="157"/>
  <c r="L53" i="157" s="1"/>
  <c r="R52" i="157"/>
  <c r="K52" i="157"/>
  <c r="L52" i="157" s="1"/>
  <c r="R51" i="157"/>
  <c r="L51" i="157"/>
  <c r="K51" i="157"/>
  <c r="R50" i="157"/>
  <c r="K50" i="157"/>
  <c r="L50" i="157" s="1"/>
  <c r="R49" i="157"/>
  <c r="K49" i="157"/>
  <c r="L49" i="157" s="1"/>
  <c r="R48" i="157"/>
  <c r="L48" i="157"/>
  <c r="R47" i="157"/>
  <c r="L47" i="157"/>
  <c r="R46" i="157"/>
  <c r="L46" i="157"/>
  <c r="R45" i="157"/>
  <c r="L45" i="157"/>
  <c r="J44" i="157"/>
  <c r="R44" i="157" s="1"/>
  <c r="J43" i="157"/>
  <c r="K43" i="157" s="1"/>
  <c r="L43" i="157" s="1"/>
  <c r="R42" i="157"/>
  <c r="K42" i="157"/>
  <c r="L42" i="157" s="1"/>
  <c r="J42" i="157"/>
  <c r="G42" i="157"/>
  <c r="J41" i="157"/>
  <c r="G41" i="157"/>
  <c r="G166" i="157" s="1"/>
  <c r="R40" i="157"/>
  <c r="L40" i="157"/>
  <c r="K40" i="157"/>
  <c r="J40" i="157"/>
  <c r="R39" i="157"/>
  <c r="K39" i="157"/>
  <c r="L39" i="157" s="1"/>
  <c r="R38" i="157"/>
  <c r="K38" i="157"/>
  <c r="L38" i="157" s="1"/>
  <c r="J37" i="157"/>
  <c r="R37" i="157" s="1"/>
  <c r="L36" i="157"/>
  <c r="K36" i="157"/>
  <c r="R35" i="157"/>
  <c r="K35" i="157"/>
  <c r="L35" i="157" s="1"/>
  <c r="R34" i="157"/>
  <c r="K34" i="157"/>
  <c r="L34" i="157" s="1"/>
  <c r="K33" i="157"/>
  <c r="L33" i="157" s="1"/>
  <c r="R32" i="157"/>
  <c r="K32" i="157"/>
  <c r="L32" i="157" s="1"/>
  <c r="R31" i="157"/>
  <c r="L31" i="157"/>
  <c r="K31" i="157"/>
  <c r="R30" i="157"/>
  <c r="K30" i="157"/>
  <c r="L30" i="157" s="1"/>
  <c r="R29" i="157"/>
  <c r="K29" i="157"/>
  <c r="L29" i="157" s="1"/>
  <c r="R28" i="157"/>
  <c r="K28" i="157"/>
  <c r="L28" i="157" s="1"/>
  <c r="R27" i="157"/>
  <c r="J27" i="157"/>
  <c r="K27" i="157" s="1"/>
  <c r="L27" i="157" s="1"/>
  <c r="S26" i="157"/>
  <c r="K26" i="157"/>
  <c r="L26" i="157" s="1"/>
  <c r="J26" i="157"/>
  <c r="R26" i="157" s="1"/>
  <c r="R25" i="157"/>
  <c r="K25" i="157"/>
  <c r="L25" i="157" s="1"/>
  <c r="J25" i="157"/>
  <c r="J24" i="157"/>
  <c r="R24" i="157" s="1"/>
  <c r="J23" i="157"/>
  <c r="R23" i="157" s="1"/>
  <c r="R22" i="157"/>
  <c r="K22" i="157"/>
  <c r="L22" i="157" s="1"/>
  <c r="J22" i="157"/>
  <c r="J21" i="157"/>
  <c r="R21" i="157" s="1"/>
  <c r="J20" i="157"/>
  <c r="R20" i="157" s="1"/>
  <c r="R19" i="157"/>
  <c r="K19" i="157"/>
  <c r="L19" i="157" s="1"/>
  <c r="J19" i="157"/>
  <c r="J18" i="157"/>
  <c r="R18" i="157" s="1"/>
  <c r="J17" i="157"/>
  <c r="R17" i="157" s="1"/>
  <c r="R16" i="157"/>
  <c r="L16" i="157"/>
  <c r="K16" i="157"/>
  <c r="J16" i="157"/>
  <c r="J15" i="157"/>
  <c r="R15" i="157" s="1"/>
  <c r="G15" i="157"/>
  <c r="J14" i="157"/>
  <c r="K14" i="157" s="1"/>
  <c r="L14" i="157" s="1"/>
  <c r="A14" i="157"/>
  <c r="R13" i="157"/>
  <c r="K13" i="157"/>
  <c r="L13" i="157" s="1"/>
  <c r="J13" i="157"/>
  <c r="J12" i="157"/>
  <c r="K12" i="157" s="1"/>
  <c r="L12" i="157" s="1"/>
  <c r="J11" i="157"/>
  <c r="K11" i="157" s="1"/>
  <c r="L11" i="157" s="1"/>
  <c r="R10" i="157"/>
  <c r="K10" i="157"/>
  <c r="L10" i="157" s="1"/>
  <c r="J10" i="157"/>
  <c r="J9" i="157"/>
  <c r="R8" i="157"/>
  <c r="L8" i="157"/>
  <c r="K8" i="157"/>
  <c r="J8" i="157"/>
  <c r="R7" i="157"/>
  <c r="K7" i="157"/>
  <c r="L7" i="157" s="1"/>
  <c r="J7" i="157"/>
  <c r="R6" i="157"/>
  <c r="J6" i="157"/>
  <c r="K6" i="157" s="1"/>
  <c r="L6" i="157" s="1"/>
  <c r="R5" i="157"/>
  <c r="J5" i="157"/>
  <c r="R4" i="157"/>
  <c r="K4" i="157"/>
  <c r="L4" i="157" s="1"/>
  <c r="J4" i="157"/>
  <c r="D54" i="156"/>
  <c r="C54" i="156"/>
  <c r="E46" i="156"/>
  <c r="C46" i="156"/>
  <c r="I38" i="156"/>
  <c r="F36" i="156"/>
  <c r="C36" i="156"/>
  <c r="G32" i="156"/>
  <c r="H33" i="156" s="1"/>
  <c r="E30" i="156"/>
  <c r="D43" i="156" s="1"/>
  <c r="C30" i="156"/>
  <c r="B43" i="156" s="1"/>
  <c r="G21" i="156"/>
  <c r="E21" i="156"/>
  <c r="C21" i="156"/>
  <c r="G20" i="156"/>
  <c r="G22" i="156" s="1"/>
  <c r="E20" i="156" s="1"/>
  <c r="F20" i="156"/>
  <c r="F22" i="156" s="1"/>
  <c r="E17" i="156"/>
  <c r="C17" i="156"/>
  <c r="E11" i="156"/>
  <c r="C11" i="156"/>
  <c r="U7" i="156"/>
  <c r="G5" i="156"/>
  <c r="G11" i="156" s="1"/>
  <c r="E5" i="156"/>
  <c r="C5" i="156"/>
  <c r="D50" i="155"/>
  <c r="D53" i="155" s="1"/>
  <c r="C50" i="155"/>
  <c r="B27" i="155"/>
  <c r="A25" i="155"/>
  <c r="J24" i="155"/>
  <c r="B24" i="155" s="1"/>
  <c r="M23" i="155"/>
  <c r="J23" i="155"/>
  <c r="I23" i="155"/>
  <c r="H23" i="155"/>
  <c r="G23" i="155"/>
  <c r="F23" i="155"/>
  <c r="A23" i="155"/>
  <c r="B22" i="155"/>
  <c r="P21" i="155"/>
  <c r="N21" i="155"/>
  <c r="M21" i="155"/>
  <c r="L21" i="155"/>
  <c r="K21" i="155"/>
  <c r="J21" i="155"/>
  <c r="I21" i="155"/>
  <c r="H21" i="155"/>
  <c r="G21" i="155"/>
  <c r="F21" i="155"/>
  <c r="E21" i="155"/>
  <c r="D21" i="155"/>
  <c r="C21" i="155"/>
  <c r="A21" i="155"/>
  <c r="B20" i="155"/>
  <c r="B21" i="155" s="1"/>
  <c r="P18" i="155"/>
  <c r="P25" i="155" s="1"/>
  <c r="P30" i="155" s="1"/>
  <c r="J18" i="155"/>
  <c r="A18" i="155"/>
  <c r="P17" i="155"/>
  <c r="N17" i="155"/>
  <c r="M17" i="155"/>
  <c r="M18" i="155" s="1"/>
  <c r="M25" i="155" s="1"/>
  <c r="L17" i="155"/>
  <c r="J17" i="155"/>
  <c r="I17" i="155"/>
  <c r="G17" i="155"/>
  <c r="F17" i="155"/>
  <c r="E17" i="155"/>
  <c r="C17" i="155"/>
  <c r="B17" i="155" s="1"/>
  <c r="P16" i="155"/>
  <c r="N16" i="155"/>
  <c r="M16" i="155"/>
  <c r="L16" i="155"/>
  <c r="J16" i="155"/>
  <c r="I16" i="155"/>
  <c r="G16" i="155"/>
  <c r="F16" i="155"/>
  <c r="E16" i="155"/>
  <c r="B16" i="155"/>
  <c r="P15" i="155"/>
  <c r="P23" i="155" s="1"/>
  <c r="N15" i="155"/>
  <c r="N18" i="155" s="1"/>
  <c r="N25" i="155" s="1"/>
  <c r="M15" i="155"/>
  <c r="L15" i="155"/>
  <c r="L18" i="155" s="1"/>
  <c r="L25" i="155" s="1"/>
  <c r="K15" i="155"/>
  <c r="K18" i="155" s="1"/>
  <c r="K25" i="155" s="1"/>
  <c r="J15" i="155"/>
  <c r="I15" i="155"/>
  <c r="I18" i="155" s="1"/>
  <c r="I25" i="155" s="1"/>
  <c r="H15" i="155"/>
  <c r="H18" i="155" s="1"/>
  <c r="H25" i="155" s="1"/>
  <c r="G15" i="155"/>
  <c r="G18" i="155" s="1"/>
  <c r="G25" i="155" s="1"/>
  <c r="F15" i="155"/>
  <c r="F18" i="155" s="1"/>
  <c r="F25" i="155" s="1"/>
  <c r="E15" i="155"/>
  <c r="E23" i="155" s="1"/>
  <c r="D15" i="155"/>
  <c r="D23" i="155" s="1"/>
  <c r="C15" i="155"/>
  <c r="C23" i="155" s="1"/>
  <c r="A15" i="155"/>
  <c r="B14" i="155"/>
  <c r="B13" i="155"/>
  <c r="B12" i="155"/>
  <c r="A12" i="155"/>
  <c r="P10" i="155"/>
  <c r="N10" i="155"/>
  <c r="M10" i="155"/>
  <c r="L10" i="155"/>
  <c r="J10" i="155"/>
  <c r="I10" i="155"/>
  <c r="F10" i="155"/>
  <c r="B10" i="155" s="1"/>
  <c r="E10" i="155"/>
  <c r="C10" i="155"/>
  <c r="B9" i="155"/>
  <c r="B8" i="155"/>
  <c r="B7" i="155"/>
  <c r="N63" i="154"/>
  <c r="N62" i="154"/>
  <c r="N61" i="154"/>
  <c r="N60" i="154"/>
  <c r="E60" i="154"/>
  <c r="N59" i="154"/>
  <c r="D59" i="154"/>
  <c r="C59" i="154"/>
  <c r="N58" i="154"/>
  <c r="D58" i="154"/>
  <c r="C58" i="154"/>
  <c r="N57" i="154"/>
  <c r="D57" i="154"/>
  <c r="C57" i="154"/>
  <c r="N56" i="154"/>
  <c r="D56" i="154"/>
  <c r="C56" i="154"/>
  <c r="N55" i="154"/>
  <c r="D55" i="154"/>
  <c r="C55" i="154"/>
  <c r="N54" i="154"/>
  <c r="D54" i="154"/>
  <c r="C54" i="154"/>
  <c r="N53" i="154"/>
  <c r="D53" i="154"/>
  <c r="C53" i="154"/>
  <c r="N52" i="154"/>
  <c r="D52" i="154"/>
  <c r="C52" i="154"/>
  <c r="N51" i="154"/>
  <c r="D51" i="154"/>
  <c r="C51" i="154"/>
  <c r="N50" i="154"/>
  <c r="D50" i="154"/>
  <c r="C50" i="154"/>
  <c r="N49" i="154"/>
  <c r="E49" i="154"/>
  <c r="D49" i="154"/>
  <c r="C49" i="154"/>
  <c r="N48" i="154"/>
  <c r="N47" i="154"/>
  <c r="N46" i="154"/>
  <c r="D46" i="154"/>
  <c r="B46" i="154"/>
  <c r="N45" i="154"/>
  <c r="B45" i="154"/>
  <c r="N44" i="154"/>
  <c r="B44" i="154"/>
  <c r="N43" i="154"/>
  <c r="N42" i="154"/>
  <c r="B42" i="154"/>
  <c r="N41" i="154"/>
  <c r="C41" i="154"/>
  <c r="N40" i="154"/>
  <c r="C40" i="154"/>
  <c r="B39" i="154"/>
  <c r="C38" i="154"/>
  <c r="C37" i="154"/>
  <c r="E41" i="11" s="1"/>
  <c r="C36" i="154"/>
  <c r="B36" i="154"/>
  <c r="O35" i="154"/>
  <c r="B34" i="154"/>
  <c r="C33" i="154"/>
  <c r="C32" i="154"/>
  <c r="B31" i="154"/>
  <c r="C30" i="154"/>
  <c r="C29" i="154"/>
  <c r="C28" i="154"/>
  <c r="C31" i="154" s="1"/>
  <c r="D22" i="124" s="1"/>
  <c r="B28" i="154"/>
  <c r="CD25" i="154"/>
  <c r="CC25" i="154"/>
  <c r="CB25" i="154"/>
  <c r="CA25" i="154"/>
  <c r="B23" i="154"/>
  <c r="B22" i="154"/>
  <c r="C21" i="154"/>
  <c r="B21" i="154"/>
  <c r="B19" i="154"/>
  <c r="E18" i="154"/>
  <c r="D18" i="154"/>
  <c r="E17" i="154"/>
  <c r="D17" i="154" s="1"/>
  <c r="C16" i="154"/>
  <c r="C19" i="154" s="1"/>
  <c r="B16" i="154"/>
  <c r="E15" i="154"/>
  <c r="D15" i="154" s="1"/>
  <c r="E14" i="154"/>
  <c r="D14" i="154" s="1"/>
  <c r="E13" i="154"/>
  <c r="D13" i="154" s="1"/>
  <c r="B13" i="154"/>
  <c r="C11" i="154"/>
  <c r="C23" i="154" s="1"/>
  <c r="B11" i="154"/>
  <c r="E10" i="154"/>
  <c r="E9" i="154"/>
  <c r="C8" i="154"/>
  <c r="B8" i="154"/>
  <c r="E7" i="154"/>
  <c r="E6" i="154"/>
  <c r="E5" i="154"/>
  <c r="D5" i="154" s="1"/>
  <c r="D8" i="154" s="1"/>
  <c r="D21" i="124" s="1"/>
  <c r="B5" i="154"/>
  <c r="CD2" i="154"/>
  <c r="CC2" i="154"/>
  <c r="CB2" i="154"/>
  <c r="CA2" i="154"/>
  <c r="P29" i="153"/>
  <c r="O29" i="153"/>
  <c r="N29" i="153"/>
  <c r="M29" i="153"/>
  <c r="L29" i="153"/>
  <c r="K29" i="153"/>
  <c r="J29" i="153"/>
  <c r="I29" i="153"/>
  <c r="H29" i="153"/>
  <c r="G29" i="153"/>
  <c r="F29" i="153"/>
  <c r="E29" i="153"/>
  <c r="D29" i="153"/>
  <c r="C29" i="153"/>
  <c r="B28" i="153"/>
  <c r="B27" i="153"/>
  <c r="B26" i="153"/>
  <c r="B22" i="153"/>
  <c r="O21" i="153"/>
  <c r="N21" i="153"/>
  <c r="M21" i="153"/>
  <c r="L21" i="153"/>
  <c r="K21" i="153"/>
  <c r="J21" i="153"/>
  <c r="I21" i="153"/>
  <c r="H21" i="153"/>
  <c r="G21" i="153"/>
  <c r="F21" i="153"/>
  <c r="E21" i="153"/>
  <c r="D21" i="153"/>
  <c r="C21" i="153"/>
  <c r="U20" i="153"/>
  <c r="S20" i="153"/>
  <c r="Q20" i="153"/>
  <c r="D38" i="11" s="1"/>
  <c r="O20" i="153"/>
  <c r="D36" i="11" s="1"/>
  <c r="N20" i="153"/>
  <c r="D34" i="11" s="1"/>
  <c r="M20" i="153"/>
  <c r="D33" i="11" s="1"/>
  <c r="L20" i="153"/>
  <c r="D32" i="11" s="1"/>
  <c r="K20" i="153"/>
  <c r="D31" i="11" s="1"/>
  <c r="J20" i="153"/>
  <c r="D29" i="11" s="1"/>
  <c r="I20" i="153"/>
  <c r="H20" i="153"/>
  <c r="D28" i="11" s="1"/>
  <c r="G20" i="153"/>
  <c r="D30" i="11" s="1"/>
  <c r="F20" i="153"/>
  <c r="E20" i="153"/>
  <c r="D20" i="153"/>
  <c r="D35" i="11" s="1"/>
  <c r="C20" i="153"/>
  <c r="B19" i="153"/>
  <c r="O18" i="153"/>
  <c r="N18" i="153"/>
  <c r="M18" i="153"/>
  <c r="L18" i="153"/>
  <c r="K18" i="153"/>
  <c r="J18" i="153"/>
  <c r="I18" i="153"/>
  <c r="H18" i="153"/>
  <c r="G18" i="153"/>
  <c r="F18" i="153"/>
  <c r="E18" i="153"/>
  <c r="D18" i="153"/>
  <c r="C18" i="153"/>
  <c r="Q17" i="153"/>
  <c r="E38" i="11" s="1"/>
  <c r="O17" i="153"/>
  <c r="E36" i="11" s="1"/>
  <c r="N17" i="153"/>
  <c r="E34" i="11" s="1"/>
  <c r="M17" i="153"/>
  <c r="E33" i="11" s="1"/>
  <c r="L17" i="153"/>
  <c r="E32" i="11" s="1"/>
  <c r="K17" i="153"/>
  <c r="E31" i="11" s="1"/>
  <c r="J17" i="153"/>
  <c r="E29" i="11" s="1"/>
  <c r="I17" i="153"/>
  <c r="H17" i="153"/>
  <c r="E28" i="11" s="1"/>
  <c r="G17" i="153"/>
  <c r="E30" i="11" s="1"/>
  <c r="F17" i="153"/>
  <c r="E17" i="153"/>
  <c r="D17" i="153"/>
  <c r="E35" i="11" s="1"/>
  <c r="C17" i="153"/>
  <c r="O16" i="153"/>
  <c r="N16" i="153"/>
  <c r="M16" i="153"/>
  <c r="L16" i="153"/>
  <c r="K16" i="153"/>
  <c r="J16" i="153"/>
  <c r="I16" i="153"/>
  <c r="H16" i="153"/>
  <c r="G16" i="153"/>
  <c r="F16" i="153"/>
  <c r="E16" i="153"/>
  <c r="D16" i="153"/>
  <c r="C16" i="153"/>
  <c r="B16" i="153"/>
  <c r="B13" i="153"/>
  <c r="O12" i="153"/>
  <c r="N12" i="153"/>
  <c r="M12" i="153"/>
  <c r="L12" i="153"/>
  <c r="K12" i="153"/>
  <c r="J12" i="153"/>
  <c r="I12" i="153"/>
  <c r="H12" i="153"/>
  <c r="G12" i="153"/>
  <c r="F12" i="153"/>
  <c r="E12" i="153"/>
  <c r="D12" i="153"/>
  <c r="C12" i="153"/>
  <c r="O11" i="153"/>
  <c r="N11" i="153"/>
  <c r="M11" i="153"/>
  <c r="L11" i="153"/>
  <c r="K11" i="153"/>
  <c r="J11" i="153"/>
  <c r="I11" i="153"/>
  <c r="H11" i="153"/>
  <c r="G11" i="153"/>
  <c r="F11" i="153"/>
  <c r="E11" i="153"/>
  <c r="D11" i="153"/>
  <c r="C11" i="153"/>
  <c r="B10" i="153"/>
  <c r="O9" i="153"/>
  <c r="N9" i="153"/>
  <c r="M9" i="153"/>
  <c r="L9" i="153"/>
  <c r="K9" i="153"/>
  <c r="J9" i="153"/>
  <c r="I9" i="153"/>
  <c r="H9" i="153"/>
  <c r="G9" i="153"/>
  <c r="F9" i="153"/>
  <c r="E9" i="153"/>
  <c r="D9" i="153"/>
  <c r="C9" i="153"/>
  <c r="O8" i="153"/>
  <c r="N8" i="153"/>
  <c r="M8" i="153"/>
  <c r="L8" i="153"/>
  <c r="K8" i="153"/>
  <c r="J8" i="153"/>
  <c r="I8" i="153"/>
  <c r="H8" i="153"/>
  <c r="G8" i="153"/>
  <c r="F8" i="153"/>
  <c r="E8" i="153"/>
  <c r="D8" i="153"/>
  <c r="C8" i="153"/>
  <c r="O7" i="153"/>
  <c r="N7" i="153"/>
  <c r="M7" i="153"/>
  <c r="L7" i="153"/>
  <c r="K7" i="153"/>
  <c r="J7" i="153"/>
  <c r="I7" i="153"/>
  <c r="H7" i="153"/>
  <c r="G7" i="153"/>
  <c r="F7" i="153"/>
  <c r="E7" i="153"/>
  <c r="D7" i="153"/>
  <c r="C7" i="153"/>
  <c r="B7" i="153"/>
  <c r="G1" i="153"/>
  <c r="B113" i="152"/>
  <c r="F109" i="152"/>
  <c r="D109" i="152"/>
  <c r="F108" i="152"/>
  <c r="F110" i="152" s="1"/>
  <c r="E108" i="152"/>
  <c r="E110" i="152" s="1"/>
  <c r="D107" i="152"/>
  <c r="D108" i="152" s="1"/>
  <c r="D105" i="152"/>
  <c r="D106" i="152" s="1"/>
  <c r="D51" i="152" s="1"/>
  <c r="E98" i="152"/>
  <c r="D98" i="152"/>
  <c r="E97" i="152"/>
  <c r="D97" i="152"/>
  <c r="E92" i="152"/>
  <c r="A92" i="152"/>
  <c r="E91" i="152"/>
  <c r="C91" i="152"/>
  <c r="A91" i="152"/>
  <c r="E90" i="152"/>
  <c r="C90" i="152"/>
  <c r="A89" i="152"/>
  <c r="A88" i="152"/>
  <c r="A87" i="152"/>
  <c r="E86" i="152"/>
  <c r="C86" i="152"/>
  <c r="E85" i="152"/>
  <c r="C85" i="152"/>
  <c r="E84" i="152"/>
  <c r="C84" i="152"/>
  <c r="A84" i="152"/>
  <c r="A83" i="152"/>
  <c r="A81" i="152"/>
  <c r="A80" i="152"/>
  <c r="A79" i="152"/>
  <c r="E74" i="152"/>
  <c r="E64" i="110" s="1"/>
  <c r="D74" i="152"/>
  <c r="C64" i="110" s="1"/>
  <c r="E73" i="152"/>
  <c r="D73" i="152"/>
  <c r="C63" i="110" s="1"/>
  <c r="E72" i="152"/>
  <c r="D72" i="152"/>
  <c r="E71" i="152"/>
  <c r="E61" i="110" s="1"/>
  <c r="D71" i="152"/>
  <c r="C61" i="110" s="1"/>
  <c r="C66" i="110" s="1"/>
  <c r="E66" i="152"/>
  <c r="D66" i="152"/>
  <c r="A64" i="152"/>
  <c r="P62" i="152"/>
  <c r="P57" i="152"/>
  <c r="O57" i="152"/>
  <c r="N57" i="152"/>
  <c r="D57" i="152"/>
  <c r="C49" i="110" s="1"/>
  <c r="P56" i="152"/>
  <c r="O56" i="152"/>
  <c r="N56" i="152"/>
  <c r="D55" i="152"/>
  <c r="C52" i="110" s="1"/>
  <c r="P54" i="152"/>
  <c r="O54" i="152"/>
  <c r="N54" i="152"/>
  <c r="D54" i="152"/>
  <c r="C50" i="110" s="1"/>
  <c r="P53" i="152"/>
  <c r="O53" i="152"/>
  <c r="N53" i="152"/>
  <c r="E53" i="152"/>
  <c r="E47" i="110" s="1"/>
  <c r="D53" i="152"/>
  <c r="C47" i="110" s="1"/>
  <c r="P52" i="152"/>
  <c r="O52" i="152"/>
  <c r="N52" i="152"/>
  <c r="E52" i="152"/>
  <c r="P51" i="152"/>
  <c r="O51" i="152"/>
  <c r="N51" i="152"/>
  <c r="E51" i="152"/>
  <c r="P50" i="152"/>
  <c r="O50" i="152"/>
  <c r="N50" i="152"/>
  <c r="P49" i="152"/>
  <c r="O49" i="152"/>
  <c r="N49" i="152"/>
  <c r="P48" i="152"/>
  <c r="O48" i="152"/>
  <c r="N48" i="152"/>
  <c r="P47" i="152"/>
  <c r="O47" i="152"/>
  <c r="N47" i="152"/>
  <c r="P45" i="152"/>
  <c r="O45" i="152"/>
  <c r="N45" i="152"/>
  <c r="P44" i="152"/>
  <c r="O44" i="152"/>
  <c r="N44" i="152"/>
  <c r="P43" i="152"/>
  <c r="O43" i="152"/>
  <c r="N43" i="152"/>
  <c r="E43" i="152"/>
  <c r="E42" i="110" s="1"/>
  <c r="D43" i="152"/>
  <c r="C42" i="110" s="1"/>
  <c r="P42" i="152"/>
  <c r="O42" i="152"/>
  <c r="N42" i="152"/>
  <c r="P41" i="152"/>
  <c r="O41" i="152"/>
  <c r="N41" i="152"/>
  <c r="E41" i="152"/>
  <c r="D41" i="152"/>
  <c r="P40" i="152"/>
  <c r="O40" i="152"/>
  <c r="N40" i="152"/>
  <c r="P39" i="152"/>
  <c r="O39" i="152"/>
  <c r="N39" i="152"/>
  <c r="P38" i="152"/>
  <c r="O38" i="152"/>
  <c r="N38" i="152"/>
  <c r="P35" i="152"/>
  <c r="O35" i="152"/>
  <c r="N35" i="152"/>
  <c r="P34" i="152"/>
  <c r="O34" i="152"/>
  <c r="N34" i="152"/>
  <c r="P33" i="152"/>
  <c r="O33" i="152"/>
  <c r="N33" i="152"/>
  <c r="P32" i="152"/>
  <c r="O32" i="152"/>
  <c r="N32" i="152"/>
  <c r="E31" i="152"/>
  <c r="E32" i="110" s="1"/>
  <c r="P30" i="152"/>
  <c r="O30" i="152"/>
  <c r="N30" i="152"/>
  <c r="P29" i="152"/>
  <c r="O29" i="152"/>
  <c r="N29" i="152"/>
  <c r="E29" i="152"/>
  <c r="E26" i="110" s="1"/>
  <c r="D29" i="152"/>
  <c r="C26" i="110" s="1"/>
  <c r="P28" i="152"/>
  <c r="O28" i="152"/>
  <c r="N28" i="152"/>
  <c r="P27" i="152"/>
  <c r="O27" i="152"/>
  <c r="N27" i="152"/>
  <c r="P26" i="152"/>
  <c r="O26" i="152"/>
  <c r="N26" i="152"/>
  <c r="P25" i="152"/>
  <c r="O25" i="152"/>
  <c r="N25" i="152"/>
  <c r="P24" i="152"/>
  <c r="O24" i="152"/>
  <c r="N24" i="152"/>
  <c r="E24" i="152"/>
  <c r="D24" i="152"/>
  <c r="P23" i="152"/>
  <c r="O23" i="152"/>
  <c r="N23" i="152"/>
  <c r="E23" i="152"/>
  <c r="D23" i="152"/>
  <c r="P21" i="152"/>
  <c r="O21" i="152"/>
  <c r="N21" i="152"/>
  <c r="E21" i="152"/>
  <c r="D21" i="152"/>
  <c r="P20" i="152"/>
  <c r="O20" i="152"/>
  <c r="N20" i="152"/>
  <c r="E20" i="152"/>
  <c r="E13" i="110" s="1"/>
  <c r="D20" i="152"/>
  <c r="C13" i="110" s="1"/>
  <c r="P19" i="152"/>
  <c r="O19" i="152"/>
  <c r="N19" i="152"/>
  <c r="E19" i="152"/>
  <c r="E12" i="110" s="1"/>
  <c r="D19" i="152"/>
  <c r="C12" i="110" s="1"/>
  <c r="P18" i="152"/>
  <c r="O18" i="152"/>
  <c r="N18" i="152"/>
  <c r="P17" i="152"/>
  <c r="O17" i="152"/>
  <c r="N17" i="152"/>
  <c r="P15" i="152"/>
  <c r="O15" i="152"/>
  <c r="N15" i="152"/>
  <c r="P14" i="152"/>
  <c r="O14" i="152"/>
  <c r="N14" i="152"/>
  <c r="P13" i="152"/>
  <c r="O13" i="152"/>
  <c r="N13" i="152"/>
  <c r="P12" i="152"/>
  <c r="O12" i="152"/>
  <c r="N12" i="152"/>
  <c r="P11" i="152"/>
  <c r="O11" i="152"/>
  <c r="N11" i="152"/>
  <c r="P10" i="152"/>
  <c r="O10" i="152"/>
  <c r="N10" i="152"/>
  <c r="E10" i="152"/>
  <c r="E11" i="110" s="1"/>
  <c r="D10" i="152"/>
  <c r="C11" i="110" s="1"/>
  <c r="P7" i="152"/>
  <c r="O7" i="152"/>
  <c r="N7" i="152"/>
  <c r="E7" i="152"/>
  <c r="E9" i="110" s="1"/>
  <c r="D7" i="152"/>
  <c r="P6" i="152"/>
  <c r="O6" i="152"/>
  <c r="N6" i="152"/>
  <c r="P5" i="152"/>
  <c r="O5" i="152"/>
  <c r="N5" i="152"/>
  <c r="D4" i="152"/>
  <c r="A1" i="152"/>
  <c r="A63" i="152" s="1"/>
  <c r="D51" i="151"/>
  <c r="A51" i="151"/>
  <c r="D50" i="151"/>
  <c r="B50" i="151"/>
  <c r="A50" i="151"/>
  <c r="D49" i="151"/>
  <c r="B49" i="151"/>
  <c r="A48" i="151"/>
  <c r="A47" i="151"/>
  <c r="A46" i="151"/>
  <c r="D45" i="151"/>
  <c r="B45" i="151"/>
  <c r="D44" i="151"/>
  <c r="B44" i="151"/>
  <c r="A44" i="151"/>
  <c r="D43" i="151"/>
  <c r="B43" i="151"/>
  <c r="A43" i="151"/>
  <c r="A41" i="151"/>
  <c r="A39" i="151"/>
  <c r="K37" i="151"/>
  <c r="A33" i="151"/>
  <c r="B32" i="151"/>
  <c r="F32" i="151" s="1"/>
  <c r="F30" i="151"/>
  <c r="D29" i="151"/>
  <c r="J29" i="151" s="1"/>
  <c r="C28" i="151"/>
  <c r="I28" i="151" s="1"/>
  <c r="F26" i="151"/>
  <c r="A25" i="151"/>
  <c r="F24" i="151"/>
  <c r="F23" i="151"/>
  <c r="F22" i="151"/>
  <c r="D21" i="151"/>
  <c r="J21" i="151" s="1"/>
  <c r="J25" i="151" s="1"/>
  <c r="C20" i="151"/>
  <c r="I20" i="151" s="1"/>
  <c r="D19" i="151"/>
  <c r="C19" i="151"/>
  <c r="B19" i="151"/>
  <c r="B25" i="151" s="1"/>
  <c r="F18" i="151"/>
  <c r="I17" i="151"/>
  <c r="F17" i="151"/>
  <c r="A17" i="151"/>
  <c r="C11" i="151"/>
  <c r="C71" i="151" s="1"/>
  <c r="C72" i="151" s="1"/>
  <c r="C9" i="151"/>
  <c r="C5" i="151"/>
  <c r="C7" i="151" s="1"/>
  <c r="A1" i="151"/>
  <c r="D377" i="150"/>
  <c r="G374" i="150"/>
  <c r="D374" i="150"/>
  <c r="E374" i="150" s="1"/>
  <c r="G373" i="150"/>
  <c r="D373" i="150"/>
  <c r="E373" i="150" s="1"/>
  <c r="D370" i="150"/>
  <c r="D369" i="150"/>
  <c r="D368" i="150"/>
  <c r="D367" i="150"/>
  <c r="D366" i="150"/>
  <c r="D365" i="150"/>
  <c r="D364" i="150"/>
  <c r="D363" i="150"/>
  <c r="D362" i="150"/>
  <c r="D361" i="150"/>
  <c r="D360" i="150"/>
  <c r="D359" i="150"/>
  <c r="D358" i="150"/>
  <c r="D357" i="150"/>
  <c r="D356" i="150"/>
  <c r="D355" i="150"/>
  <c r="D354" i="150"/>
  <c r="D353" i="150"/>
  <c r="D352" i="150"/>
  <c r="D351" i="150"/>
  <c r="D350" i="150"/>
  <c r="G349" i="150"/>
  <c r="D347" i="150"/>
  <c r="D346" i="150"/>
  <c r="D345" i="150"/>
  <c r="D344" i="150"/>
  <c r="D343" i="150"/>
  <c r="D342" i="150"/>
  <c r="D341" i="150"/>
  <c r="D340" i="150"/>
  <c r="G339" i="150"/>
  <c r="D337" i="150"/>
  <c r="C337" i="150"/>
  <c r="A337" i="150"/>
  <c r="D336" i="150"/>
  <c r="D335" i="150"/>
  <c r="D334" i="150"/>
  <c r="D333" i="150"/>
  <c r="D332" i="150"/>
  <c r="D331" i="150"/>
  <c r="D330" i="150"/>
  <c r="D329" i="150"/>
  <c r="D328" i="150"/>
  <c r="D327" i="150"/>
  <c r="D326" i="150"/>
  <c r="D325" i="150"/>
  <c r="D324" i="150"/>
  <c r="D323" i="150"/>
  <c r="D322" i="150"/>
  <c r="G321" i="150"/>
  <c r="E318" i="150"/>
  <c r="E317" i="150"/>
  <c r="E315" i="150"/>
  <c r="E312" i="150"/>
  <c r="C312" i="150"/>
  <c r="A312" i="150"/>
  <c r="E311" i="150"/>
  <c r="E310" i="150"/>
  <c r="E309" i="150"/>
  <c r="D308" i="150"/>
  <c r="D307" i="150"/>
  <c r="D306" i="150"/>
  <c r="D305" i="150"/>
  <c r="D304" i="150"/>
  <c r="D303" i="150"/>
  <c r="D302" i="150"/>
  <c r="D301" i="150"/>
  <c r="D300" i="150"/>
  <c r="D299" i="150"/>
  <c r="D298" i="150"/>
  <c r="D297" i="150"/>
  <c r="D296" i="150"/>
  <c r="D295" i="150"/>
  <c r="D294" i="150"/>
  <c r="D293" i="150"/>
  <c r="D292" i="150"/>
  <c r="D291" i="150"/>
  <c r="D290" i="150"/>
  <c r="D289" i="150"/>
  <c r="D288" i="150"/>
  <c r="D287" i="150"/>
  <c r="D286" i="150"/>
  <c r="D285" i="150"/>
  <c r="D284" i="150"/>
  <c r="D283" i="150"/>
  <c r="D282" i="150"/>
  <c r="D281" i="150"/>
  <c r="D280" i="150"/>
  <c r="D279" i="150"/>
  <c r="D278" i="150"/>
  <c r="D277" i="150"/>
  <c r="D276" i="150"/>
  <c r="D275" i="150"/>
  <c r="D274" i="150"/>
  <c r="D273" i="150"/>
  <c r="D272" i="150"/>
  <c r="D271" i="150"/>
  <c r="D270" i="150"/>
  <c r="D269" i="150"/>
  <c r="G268" i="150"/>
  <c r="E266" i="150"/>
  <c r="E265" i="150"/>
  <c r="E264" i="150"/>
  <c r="E263" i="150"/>
  <c r="E262" i="150"/>
  <c r="E261" i="150"/>
  <c r="D259" i="150"/>
  <c r="D258" i="150"/>
  <c r="G257" i="150"/>
  <c r="E256" i="150"/>
  <c r="D254" i="150"/>
  <c r="D253" i="150"/>
  <c r="D252" i="150"/>
  <c r="G251" i="150"/>
  <c r="E249" i="150"/>
  <c r="G247" i="150"/>
  <c r="D247" i="150"/>
  <c r="E247" i="150" s="1"/>
  <c r="D246" i="150"/>
  <c r="D245" i="150"/>
  <c r="C245" i="150"/>
  <c r="A245" i="150"/>
  <c r="D244" i="150"/>
  <c r="G243" i="150"/>
  <c r="E241" i="150"/>
  <c r="D239" i="150"/>
  <c r="D238" i="150"/>
  <c r="G237" i="150"/>
  <c r="D235" i="150"/>
  <c r="D234" i="150"/>
  <c r="D233" i="150"/>
  <c r="D232" i="150"/>
  <c r="G231" i="150"/>
  <c r="G319" i="150" s="1"/>
  <c r="D229" i="150"/>
  <c r="D228" i="150"/>
  <c r="D227" i="150"/>
  <c r="D226" i="150"/>
  <c r="D225" i="150"/>
  <c r="D224" i="150"/>
  <c r="D223" i="150"/>
  <c r="G222" i="150"/>
  <c r="E220" i="150"/>
  <c r="E219" i="150"/>
  <c r="D213" i="150"/>
  <c r="D212" i="150"/>
  <c r="D211" i="150"/>
  <c r="D210" i="150"/>
  <c r="G209" i="150"/>
  <c r="D207" i="150"/>
  <c r="A207" i="150"/>
  <c r="D206" i="150"/>
  <c r="J206" i="150" s="1"/>
  <c r="D205" i="150"/>
  <c r="J205" i="150" s="1"/>
  <c r="D204" i="150"/>
  <c r="J204" i="150" s="1"/>
  <c r="D203" i="150"/>
  <c r="J203" i="150" s="1"/>
  <c r="D202" i="150"/>
  <c r="J202" i="150" s="1"/>
  <c r="D201" i="150"/>
  <c r="J201" i="150" s="1"/>
  <c r="D200" i="150"/>
  <c r="J200" i="150" s="1"/>
  <c r="D199" i="150"/>
  <c r="J199" i="150" s="1"/>
  <c r="D198" i="150"/>
  <c r="J198" i="150" s="1"/>
  <c r="D197" i="150"/>
  <c r="J197" i="150" s="1"/>
  <c r="D196" i="150"/>
  <c r="J196" i="150" s="1"/>
  <c r="D195" i="150"/>
  <c r="D194" i="150"/>
  <c r="D193" i="150"/>
  <c r="J193" i="150" s="1"/>
  <c r="K193" i="150" s="1"/>
  <c r="G192" i="150"/>
  <c r="G215" i="150" s="1"/>
  <c r="E189" i="150"/>
  <c r="D158" i="150" s="1"/>
  <c r="D184" i="150"/>
  <c r="D183" i="150"/>
  <c r="D182" i="150"/>
  <c r="D181" i="150"/>
  <c r="D180" i="150"/>
  <c r="D179" i="150"/>
  <c r="D178" i="150"/>
  <c r="D177" i="150"/>
  <c r="D176" i="150"/>
  <c r="D175" i="150"/>
  <c r="D174" i="150"/>
  <c r="D173" i="150"/>
  <c r="D172" i="150"/>
  <c r="D171" i="150"/>
  <c r="D170" i="150"/>
  <c r="D169" i="150"/>
  <c r="D168" i="150"/>
  <c r="D167" i="150"/>
  <c r="D166" i="150"/>
  <c r="D165" i="150"/>
  <c r="D164" i="150"/>
  <c r="G163" i="150"/>
  <c r="D161" i="150"/>
  <c r="D160" i="150"/>
  <c r="D159" i="150"/>
  <c r="D157" i="150"/>
  <c r="D156" i="150"/>
  <c r="G155" i="150"/>
  <c r="E154" i="150"/>
  <c r="D152" i="150"/>
  <c r="D151" i="150"/>
  <c r="D150" i="150"/>
  <c r="D149" i="150"/>
  <c r="D148" i="150"/>
  <c r="D147" i="150"/>
  <c r="D146" i="150"/>
  <c r="D145" i="150"/>
  <c r="D144" i="150"/>
  <c r="D143" i="150"/>
  <c r="D142" i="150"/>
  <c r="D141" i="150"/>
  <c r="D140" i="150"/>
  <c r="D139" i="150"/>
  <c r="D138" i="150"/>
  <c r="G137" i="150"/>
  <c r="G186" i="150" s="1"/>
  <c r="D132" i="150"/>
  <c r="D131" i="150"/>
  <c r="D130" i="150"/>
  <c r="D129" i="150"/>
  <c r="D128" i="150"/>
  <c r="G127" i="150"/>
  <c r="D125" i="150"/>
  <c r="D124" i="150"/>
  <c r="D123" i="150"/>
  <c r="D122" i="150"/>
  <c r="D121" i="150"/>
  <c r="D120" i="150"/>
  <c r="D119" i="150"/>
  <c r="D118" i="150"/>
  <c r="D117" i="150"/>
  <c r="G116" i="150"/>
  <c r="D114" i="150"/>
  <c r="D113" i="150"/>
  <c r="G112" i="150"/>
  <c r="G134" i="150" s="1"/>
  <c r="E110" i="150"/>
  <c r="E108" i="150"/>
  <c r="D106" i="150"/>
  <c r="D105" i="150"/>
  <c r="D104" i="150"/>
  <c r="D103" i="150"/>
  <c r="D102" i="150"/>
  <c r="D101" i="150"/>
  <c r="D100" i="150"/>
  <c r="D99" i="150"/>
  <c r="D98" i="150"/>
  <c r="D97" i="150"/>
  <c r="D96" i="150"/>
  <c r="D95" i="150"/>
  <c r="D94" i="150"/>
  <c r="D93" i="150"/>
  <c r="D92" i="150"/>
  <c r="D91" i="150"/>
  <c r="D90" i="150"/>
  <c r="D89" i="150"/>
  <c r="D88" i="150"/>
  <c r="D87" i="150"/>
  <c r="D86" i="150"/>
  <c r="D85" i="150"/>
  <c r="D84" i="150"/>
  <c r="G83" i="150"/>
  <c r="G78" i="150"/>
  <c r="D78" i="150"/>
  <c r="D77" i="150"/>
  <c r="D76" i="150"/>
  <c r="D75" i="150"/>
  <c r="D74" i="150"/>
  <c r="D73" i="150"/>
  <c r="D72" i="150"/>
  <c r="D71" i="150"/>
  <c r="D70" i="150"/>
  <c r="D69" i="150"/>
  <c r="D68" i="150"/>
  <c r="D67" i="150"/>
  <c r="D66" i="150"/>
  <c r="G65" i="150"/>
  <c r="E64" i="150"/>
  <c r="E63" i="150"/>
  <c r="G61" i="150"/>
  <c r="D61" i="150"/>
  <c r="D60" i="150"/>
  <c r="D56" i="150"/>
  <c r="D55" i="150"/>
  <c r="D54" i="150"/>
  <c r="D53" i="150"/>
  <c r="G52" i="150"/>
  <c r="D49" i="150"/>
  <c r="D48" i="150"/>
  <c r="D47" i="150"/>
  <c r="D46" i="150"/>
  <c r="D45" i="150"/>
  <c r="D44" i="150"/>
  <c r="D43" i="150"/>
  <c r="G42" i="150"/>
  <c r="G80" i="150" s="1"/>
  <c r="G38" i="150"/>
  <c r="D36" i="150"/>
  <c r="D35" i="150"/>
  <c r="D34" i="150"/>
  <c r="D33" i="150"/>
  <c r="G32" i="150"/>
  <c r="E30" i="150"/>
  <c r="E29" i="150"/>
  <c r="E28" i="150"/>
  <c r="E27" i="150"/>
  <c r="F23" i="150"/>
  <c r="G23" i="150" s="1"/>
  <c r="D22" i="150"/>
  <c r="C22" i="150"/>
  <c r="A22" i="150"/>
  <c r="D21" i="150"/>
  <c r="D20" i="150"/>
  <c r="D19" i="150"/>
  <c r="C19" i="150"/>
  <c r="A19" i="150"/>
  <c r="D18" i="150"/>
  <c r="D17" i="150"/>
  <c r="D16" i="150"/>
  <c r="D15" i="150"/>
  <c r="D14" i="150"/>
  <c r="D13" i="150"/>
  <c r="D12" i="150"/>
  <c r="D11" i="150"/>
  <c r="D10" i="150"/>
  <c r="D9" i="150"/>
  <c r="D8" i="150"/>
  <c r="D7" i="150"/>
  <c r="D6" i="150"/>
  <c r="F3" i="150"/>
  <c r="D3" i="150"/>
  <c r="A2" i="150"/>
  <c r="P1532" i="149"/>
  <c r="O1532" i="149"/>
  <c r="N1532" i="149"/>
  <c r="L1532" i="149"/>
  <c r="J1532" i="149"/>
  <c r="I1532" i="149"/>
  <c r="H1532" i="149"/>
  <c r="F1532" i="149"/>
  <c r="F1537" i="149" s="1"/>
  <c r="M1530" i="149"/>
  <c r="G1530" i="149"/>
  <c r="M1529" i="149"/>
  <c r="G1529" i="149"/>
  <c r="M1528" i="149"/>
  <c r="G1528" i="149"/>
  <c r="M1527" i="149"/>
  <c r="M1532" i="149" s="1"/>
  <c r="G1527" i="149"/>
  <c r="G1532" i="149" s="1"/>
  <c r="G1526" i="149"/>
  <c r="P1525" i="149"/>
  <c r="O1525" i="149"/>
  <c r="N1525" i="149"/>
  <c r="L1525" i="149"/>
  <c r="L1533" i="149" s="1"/>
  <c r="J1525" i="149"/>
  <c r="I1525" i="149"/>
  <c r="H1525" i="149"/>
  <c r="F1525" i="149"/>
  <c r="F1533" i="149" s="1"/>
  <c r="M1513" i="149"/>
  <c r="G1513" i="149"/>
  <c r="M1511" i="149"/>
  <c r="G1511" i="149"/>
  <c r="G1509" i="149"/>
  <c r="M1508" i="149"/>
  <c r="G1508" i="149"/>
  <c r="M1507" i="149"/>
  <c r="G1507" i="149"/>
  <c r="M1506" i="149"/>
  <c r="G1506" i="149"/>
  <c r="M1505" i="149"/>
  <c r="M1525" i="149" s="1"/>
  <c r="G1505" i="149"/>
  <c r="L1498" i="149"/>
  <c r="M1498" i="149" s="1"/>
  <c r="F1498" i="149"/>
  <c r="G1498" i="149" s="1"/>
  <c r="M1497" i="149"/>
  <c r="G1497" i="149"/>
  <c r="M1496" i="149"/>
  <c r="G1496" i="149"/>
  <c r="G1495" i="149"/>
  <c r="G1494" i="149"/>
  <c r="M1493" i="149"/>
  <c r="G1493" i="149"/>
  <c r="C666" i="149" s="1"/>
  <c r="M1492" i="149"/>
  <c r="G1492" i="149"/>
  <c r="L1491" i="149"/>
  <c r="M1491" i="149" s="1"/>
  <c r="F1491" i="149"/>
  <c r="G1491" i="149" s="1"/>
  <c r="M1490" i="149"/>
  <c r="G1490" i="149"/>
  <c r="M1489" i="149"/>
  <c r="G1489" i="149"/>
  <c r="G1488" i="149"/>
  <c r="M1487" i="149"/>
  <c r="G1487" i="149"/>
  <c r="C669" i="149" s="1"/>
  <c r="M1486" i="149"/>
  <c r="G1486" i="149"/>
  <c r="L1485" i="149"/>
  <c r="F1485" i="149"/>
  <c r="F1499" i="149" s="1"/>
  <c r="M1483" i="149"/>
  <c r="G1483" i="149"/>
  <c r="M1482" i="149"/>
  <c r="G1482" i="149"/>
  <c r="M1481" i="149"/>
  <c r="G1481" i="149"/>
  <c r="M1480" i="149"/>
  <c r="G1480" i="149"/>
  <c r="M1479" i="149"/>
  <c r="G1479" i="149"/>
  <c r="G1478" i="149"/>
  <c r="M1477" i="149"/>
  <c r="G1477" i="149"/>
  <c r="M1476" i="149"/>
  <c r="G1476" i="149"/>
  <c r="M1475" i="149"/>
  <c r="G1475" i="149"/>
  <c r="C668" i="149" s="1"/>
  <c r="C643" i="149" s="1"/>
  <c r="M1474" i="149"/>
  <c r="G1474" i="149"/>
  <c r="M1473" i="149"/>
  <c r="G1473" i="149"/>
  <c r="C667" i="149" s="1"/>
  <c r="C633" i="149" s="1"/>
  <c r="G1448" i="149"/>
  <c r="G1447" i="149"/>
  <c r="O1444" i="149"/>
  <c r="G1443" i="149"/>
  <c r="K1443" i="149" s="1"/>
  <c r="L1443" i="149" s="1"/>
  <c r="G1442" i="149"/>
  <c r="K1442" i="149" s="1"/>
  <c r="L1442" i="149" s="1"/>
  <c r="G1441" i="149"/>
  <c r="K1441" i="149" s="1"/>
  <c r="L1441" i="149" s="1"/>
  <c r="G1440" i="149"/>
  <c r="K1440" i="149" s="1"/>
  <c r="L1440" i="149" s="1"/>
  <c r="G1439" i="149"/>
  <c r="K1439" i="149" s="1"/>
  <c r="L1439" i="149" s="1"/>
  <c r="G1438" i="149"/>
  <c r="K1438" i="149" s="1"/>
  <c r="L1438" i="149" s="1"/>
  <c r="G1437" i="149"/>
  <c r="K1437" i="149" s="1"/>
  <c r="L1437" i="149" s="1"/>
  <c r="G1436" i="149"/>
  <c r="G1432" i="149"/>
  <c r="K1432" i="149" s="1"/>
  <c r="L1432" i="149" s="1"/>
  <c r="G1431" i="149"/>
  <c r="K1431" i="149" s="1"/>
  <c r="L1431" i="149" s="1"/>
  <c r="G1430" i="149"/>
  <c r="K1430" i="149" s="1"/>
  <c r="L1430" i="149" s="1"/>
  <c r="G1429" i="149"/>
  <c r="K1429" i="149" s="1"/>
  <c r="L1429" i="149" s="1"/>
  <c r="G1428" i="149"/>
  <c r="K1428" i="149" s="1"/>
  <c r="L1428" i="149" s="1"/>
  <c r="G1427" i="149"/>
  <c r="K1427" i="149" s="1"/>
  <c r="O1422" i="149"/>
  <c r="L1422" i="149"/>
  <c r="O1421" i="149" s="1"/>
  <c r="K1422" i="149"/>
  <c r="D158" i="149" s="1"/>
  <c r="I1422" i="149"/>
  <c r="G1422" i="149"/>
  <c r="D1422" i="149"/>
  <c r="O1416" i="149"/>
  <c r="G1416" i="149"/>
  <c r="L1415" i="149"/>
  <c r="D182" i="149" s="1"/>
  <c r="K1415" i="149"/>
  <c r="D181" i="149" s="1"/>
  <c r="G1415" i="149"/>
  <c r="H1415" i="149" s="1"/>
  <c r="C378" i="149" s="1"/>
  <c r="H1414" i="149"/>
  <c r="G1412" i="149"/>
  <c r="K1412" i="149" s="1"/>
  <c r="O1411" i="149"/>
  <c r="L1411" i="149"/>
  <c r="P1411" i="149" s="1"/>
  <c r="K1411" i="149"/>
  <c r="H1411" i="149"/>
  <c r="L1410" i="149"/>
  <c r="G1400" i="149"/>
  <c r="F1400" i="149"/>
  <c r="E1399" i="149"/>
  <c r="D1399" i="149"/>
  <c r="E1398" i="149"/>
  <c r="D1398" i="149"/>
  <c r="E1397" i="149"/>
  <c r="D1397" i="149"/>
  <c r="E1396" i="149"/>
  <c r="D1396" i="149"/>
  <c r="E1395" i="149"/>
  <c r="D1395" i="149"/>
  <c r="E1394" i="149"/>
  <c r="D1394" i="149"/>
  <c r="A1394" i="149"/>
  <c r="E1393" i="149"/>
  <c r="D1393" i="149"/>
  <c r="E1392" i="149"/>
  <c r="D1392" i="149"/>
  <c r="E1391" i="149"/>
  <c r="D1391" i="149"/>
  <c r="E1390" i="149"/>
  <c r="D1390" i="149"/>
  <c r="E1389" i="149"/>
  <c r="D1389" i="149"/>
  <c r="A1389" i="149"/>
  <c r="E1388" i="149"/>
  <c r="D1388" i="149"/>
  <c r="E1387" i="149"/>
  <c r="D1387" i="149"/>
  <c r="E1386" i="149"/>
  <c r="D1386" i="149"/>
  <c r="E1385" i="149"/>
  <c r="D1385" i="149"/>
  <c r="E1384" i="149"/>
  <c r="D1384" i="149"/>
  <c r="E1383" i="149"/>
  <c r="D1383" i="149"/>
  <c r="E1382" i="149"/>
  <c r="D1382" i="149"/>
  <c r="B1382" i="149"/>
  <c r="A1382" i="149"/>
  <c r="E1381" i="149"/>
  <c r="D1381" i="149"/>
  <c r="E1380" i="149"/>
  <c r="D1380" i="149"/>
  <c r="E1379" i="149"/>
  <c r="D1379" i="149"/>
  <c r="A1379" i="149"/>
  <c r="E1378" i="149"/>
  <c r="D1378" i="149"/>
  <c r="A1378" i="149"/>
  <c r="E1377" i="149"/>
  <c r="D1377" i="149"/>
  <c r="E1376" i="149"/>
  <c r="D1376" i="149"/>
  <c r="A1376" i="149"/>
  <c r="E1375" i="149"/>
  <c r="D1375" i="149"/>
  <c r="B1375" i="149"/>
  <c r="A1375" i="149"/>
  <c r="E1374" i="149"/>
  <c r="D1374" i="149"/>
  <c r="A1374" i="149"/>
  <c r="E1373" i="149"/>
  <c r="D1373" i="149"/>
  <c r="A1373" i="149"/>
  <c r="E1372" i="149"/>
  <c r="D1372" i="149"/>
  <c r="A1372" i="149"/>
  <c r="E1371" i="149"/>
  <c r="D1371" i="149"/>
  <c r="A1371" i="149"/>
  <c r="E1370" i="149"/>
  <c r="D1370" i="149"/>
  <c r="A1370" i="149"/>
  <c r="E1369" i="149"/>
  <c r="D1369" i="149"/>
  <c r="A1369" i="149"/>
  <c r="E1368" i="149"/>
  <c r="D1368" i="149"/>
  <c r="A1368" i="149"/>
  <c r="E1367" i="149"/>
  <c r="D1367" i="149"/>
  <c r="A1367" i="149"/>
  <c r="E1366" i="149"/>
  <c r="D1366" i="149"/>
  <c r="A1366" i="149"/>
  <c r="E1365" i="149"/>
  <c r="D1365" i="149"/>
  <c r="A1365" i="149"/>
  <c r="E1364" i="149"/>
  <c r="D1364" i="149"/>
  <c r="A1364" i="149"/>
  <c r="E1363" i="149"/>
  <c r="D1363" i="149"/>
  <c r="A1363" i="149"/>
  <c r="E1362" i="149"/>
  <c r="D1362" i="149"/>
  <c r="A1362" i="149"/>
  <c r="E1361" i="149"/>
  <c r="D1361" i="149"/>
  <c r="A1361" i="149"/>
  <c r="E1360" i="149"/>
  <c r="D1360" i="149"/>
  <c r="A1360" i="149"/>
  <c r="E1359" i="149"/>
  <c r="D1359" i="149"/>
  <c r="A1359" i="149"/>
  <c r="E1358" i="149"/>
  <c r="D1358" i="149"/>
  <c r="A1358" i="149"/>
  <c r="E1357" i="149"/>
  <c r="D1357" i="149"/>
  <c r="A1357" i="149"/>
  <c r="E1356" i="149"/>
  <c r="D1356" i="149"/>
  <c r="A1356" i="149"/>
  <c r="E1355" i="149"/>
  <c r="D1355" i="149"/>
  <c r="A1355" i="149"/>
  <c r="E1354" i="149"/>
  <c r="D1354" i="149"/>
  <c r="A1354" i="149"/>
  <c r="E1353" i="149"/>
  <c r="D1353" i="149"/>
  <c r="A1353" i="149"/>
  <c r="E1352" i="149"/>
  <c r="D1352" i="149"/>
  <c r="A1352" i="149"/>
  <c r="E1351" i="149"/>
  <c r="D1351" i="149"/>
  <c r="A1351" i="149"/>
  <c r="E1350" i="149"/>
  <c r="D1350" i="149"/>
  <c r="A1350" i="149"/>
  <c r="E1349" i="149"/>
  <c r="D1349" i="149"/>
  <c r="A1349" i="149"/>
  <c r="E1348" i="149"/>
  <c r="D1348" i="149"/>
  <c r="A1348" i="149"/>
  <c r="E1347" i="149"/>
  <c r="D1347" i="149"/>
  <c r="A1347" i="149"/>
  <c r="E1346" i="149"/>
  <c r="D1346" i="149"/>
  <c r="E1345" i="149"/>
  <c r="D1345" i="149"/>
  <c r="E1344" i="149"/>
  <c r="D1344" i="149"/>
  <c r="E1343" i="149"/>
  <c r="D1343" i="149"/>
  <c r="E1342" i="149"/>
  <c r="D1342" i="149"/>
  <c r="E1341" i="149"/>
  <c r="D1341" i="149"/>
  <c r="E1340" i="149"/>
  <c r="D1340" i="149"/>
  <c r="E1339" i="149"/>
  <c r="D1339" i="149"/>
  <c r="E1338" i="149"/>
  <c r="D1338" i="149"/>
  <c r="E1337" i="149"/>
  <c r="D1337" i="149"/>
  <c r="E1336" i="149"/>
  <c r="D1336" i="149"/>
  <c r="E1335" i="149"/>
  <c r="D1335" i="149"/>
  <c r="E1334" i="149"/>
  <c r="D1334" i="149"/>
  <c r="E1333" i="149"/>
  <c r="D1333" i="149"/>
  <c r="E1332" i="149"/>
  <c r="D1332" i="149"/>
  <c r="E1331" i="149"/>
  <c r="D1331" i="149"/>
  <c r="E1330" i="149"/>
  <c r="D1330" i="149"/>
  <c r="E1329" i="149"/>
  <c r="D1329" i="149"/>
  <c r="E1328" i="149"/>
  <c r="D1328" i="149"/>
  <c r="E1327" i="149"/>
  <c r="D1327" i="149"/>
  <c r="E1326" i="149"/>
  <c r="D1326" i="149"/>
  <c r="E1325" i="149"/>
  <c r="D1325" i="149"/>
  <c r="E1324" i="149"/>
  <c r="D1324" i="149"/>
  <c r="E1323" i="149"/>
  <c r="D1323" i="149"/>
  <c r="E1322" i="149"/>
  <c r="D1322" i="149"/>
  <c r="E1321" i="149"/>
  <c r="D1321" i="149"/>
  <c r="E1320" i="149"/>
  <c r="D1320" i="149"/>
  <c r="E1319" i="149"/>
  <c r="D1319" i="149"/>
  <c r="E1318" i="149"/>
  <c r="D1318" i="149"/>
  <c r="E1317" i="149"/>
  <c r="D1317" i="149"/>
  <c r="E1316" i="149"/>
  <c r="D1316" i="149"/>
  <c r="E1315" i="149"/>
  <c r="D1315" i="149"/>
  <c r="E1314" i="149"/>
  <c r="D1314" i="149"/>
  <c r="E1313" i="149"/>
  <c r="D1313" i="149"/>
  <c r="E1312" i="149"/>
  <c r="D1312" i="149"/>
  <c r="E1311" i="149"/>
  <c r="D1311" i="149"/>
  <c r="E1310" i="149"/>
  <c r="D1310" i="149"/>
  <c r="E1309" i="149"/>
  <c r="D1309" i="149"/>
  <c r="E1308" i="149"/>
  <c r="D1308" i="149"/>
  <c r="E1307" i="149"/>
  <c r="D1307" i="149"/>
  <c r="E1306" i="149"/>
  <c r="D1306" i="149"/>
  <c r="E1305" i="149"/>
  <c r="D1305" i="149"/>
  <c r="E1304" i="149"/>
  <c r="D1304" i="149"/>
  <c r="E1303" i="149"/>
  <c r="D1303" i="149"/>
  <c r="E1302" i="149"/>
  <c r="D1302" i="149"/>
  <c r="E1301" i="149"/>
  <c r="D1301" i="149"/>
  <c r="E1300" i="149"/>
  <c r="D1300" i="149"/>
  <c r="E1299" i="149"/>
  <c r="D1299" i="149"/>
  <c r="E1298" i="149"/>
  <c r="D1298" i="149"/>
  <c r="E1297" i="149"/>
  <c r="D1297" i="149"/>
  <c r="E1296" i="149"/>
  <c r="D1296" i="149"/>
  <c r="E1295" i="149"/>
  <c r="D1295" i="149"/>
  <c r="E1294" i="149"/>
  <c r="D1294" i="149"/>
  <c r="E1293" i="149"/>
  <c r="D1293" i="149"/>
  <c r="E1292" i="149"/>
  <c r="D1292" i="149"/>
  <c r="E1291" i="149"/>
  <c r="D1291" i="149"/>
  <c r="E1290" i="149"/>
  <c r="D1290" i="149"/>
  <c r="E1289" i="149"/>
  <c r="D1289" i="149"/>
  <c r="E1288" i="149"/>
  <c r="D1288" i="149"/>
  <c r="E1287" i="149"/>
  <c r="D1287" i="149"/>
  <c r="E1286" i="149"/>
  <c r="D1286" i="149"/>
  <c r="E1285" i="149"/>
  <c r="D1285" i="149"/>
  <c r="E1284" i="149"/>
  <c r="D1284" i="149"/>
  <c r="E1283" i="149"/>
  <c r="D1283" i="149"/>
  <c r="E1282" i="149"/>
  <c r="D1282" i="149"/>
  <c r="E1281" i="149"/>
  <c r="D1281" i="149"/>
  <c r="E1280" i="149"/>
  <c r="D1280" i="149"/>
  <c r="E1279" i="149"/>
  <c r="D1279" i="149"/>
  <c r="E1278" i="149"/>
  <c r="D1278" i="149"/>
  <c r="E1277" i="149"/>
  <c r="D1277" i="149"/>
  <c r="E1276" i="149"/>
  <c r="D1276" i="149"/>
  <c r="E1275" i="149"/>
  <c r="D1275" i="149"/>
  <c r="E1274" i="149"/>
  <c r="D1274" i="149"/>
  <c r="E1273" i="149"/>
  <c r="D1273" i="149"/>
  <c r="E1272" i="149"/>
  <c r="D1272" i="149"/>
  <c r="E1271" i="149"/>
  <c r="D1271" i="149"/>
  <c r="E1270" i="149"/>
  <c r="D1270" i="149"/>
  <c r="E1269" i="149"/>
  <c r="D1269" i="149"/>
  <c r="E1268" i="149"/>
  <c r="D1268" i="149"/>
  <c r="E1267" i="149"/>
  <c r="D1267" i="149"/>
  <c r="G1264" i="149"/>
  <c r="F1264" i="149"/>
  <c r="E1263" i="149"/>
  <c r="D1263" i="149"/>
  <c r="E1262" i="149"/>
  <c r="D1262" i="149"/>
  <c r="E1261" i="149"/>
  <c r="D1261" i="149"/>
  <c r="E1260" i="149"/>
  <c r="D1260" i="149"/>
  <c r="E1259" i="149"/>
  <c r="D1259" i="149"/>
  <c r="E1258" i="149"/>
  <c r="D1258" i="149"/>
  <c r="E1257" i="149"/>
  <c r="D1257" i="149"/>
  <c r="E1256" i="149"/>
  <c r="D1256" i="149"/>
  <c r="E1255" i="149"/>
  <c r="D1255" i="149"/>
  <c r="E1254" i="149"/>
  <c r="D1254" i="149"/>
  <c r="E1253" i="149"/>
  <c r="D1253" i="149"/>
  <c r="E1252" i="149"/>
  <c r="D1252" i="149"/>
  <c r="E1251" i="149"/>
  <c r="D1251" i="149"/>
  <c r="E1250" i="149"/>
  <c r="D1250" i="149"/>
  <c r="E1249" i="149"/>
  <c r="D1249" i="149"/>
  <c r="E1248" i="149"/>
  <c r="D1248" i="149"/>
  <c r="E1247" i="149"/>
  <c r="D1247" i="149"/>
  <c r="E1246" i="149"/>
  <c r="D1246" i="149"/>
  <c r="E1245" i="149"/>
  <c r="D1245" i="149"/>
  <c r="E1244" i="149"/>
  <c r="D1244" i="149"/>
  <c r="E1243" i="149"/>
  <c r="D1243" i="149"/>
  <c r="E1242" i="149"/>
  <c r="D1242" i="149"/>
  <c r="E1241" i="149"/>
  <c r="D1241" i="149"/>
  <c r="E1240" i="149"/>
  <c r="D1240" i="149"/>
  <c r="E1239" i="149"/>
  <c r="D1239" i="149"/>
  <c r="E1238" i="149"/>
  <c r="D1238" i="149"/>
  <c r="E1237" i="149"/>
  <c r="D1237" i="149"/>
  <c r="E1236" i="149"/>
  <c r="D1236" i="149"/>
  <c r="E1235" i="149"/>
  <c r="D1235" i="149"/>
  <c r="E1234" i="149"/>
  <c r="D1234" i="149"/>
  <c r="E1233" i="149"/>
  <c r="D1233" i="149"/>
  <c r="E1232" i="149"/>
  <c r="D1232" i="149"/>
  <c r="E1231" i="149"/>
  <c r="D1231" i="149"/>
  <c r="E1230" i="149"/>
  <c r="D1230" i="149"/>
  <c r="G1228" i="149"/>
  <c r="F1228" i="149"/>
  <c r="E1227" i="149"/>
  <c r="D1227" i="149"/>
  <c r="E1226" i="149"/>
  <c r="D1226" i="149"/>
  <c r="E1225" i="149"/>
  <c r="D1225" i="149"/>
  <c r="E1224" i="149"/>
  <c r="D1224" i="149"/>
  <c r="B1224" i="149"/>
  <c r="A1224" i="149"/>
  <c r="E1223" i="149"/>
  <c r="D1223" i="149"/>
  <c r="E1222" i="149"/>
  <c r="D1222" i="149"/>
  <c r="E1221" i="149"/>
  <c r="D1221" i="149"/>
  <c r="B1221" i="149"/>
  <c r="A1221" i="149"/>
  <c r="E1220" i="149"/>
  <c r="D1220" i="149"/>
  <c r="B1220" i="149"/>
  <c r="A1220" i="149"/>
  <c r="E1219" i="149"/>
  <c r="D1219" i="149"/>
  <c r="B1219" i="149"/>
  <c r="A1219" i="149"/>
  <c r="E1218" i="149"/>
  <c r="D1218" i="149"/>
  <c r="E1217" i="149"/>
  <c r="D1217" i="149"/>
  <c r="E1216" i="149"/>
  <c r="D1216" i="149"/>
  <c r="E1215" i="149"/>
  <c r="D1215" i="149"/>
  <c r="E1214" i="149"/>
  <c r="D1214" i="149"/>
  <c r="E1213" i="149"/>
  <c r="D1213" i="149"/>
  <c r="E1212" i="149"/>
  <c r="D1212" i="149"/>
  <c r="E1211" i="149"/>
  <c r="D1211" i="149"/>
  <c r="E1210" i="149"/>
  <c r="D1210" i="149"/>
  <c r="E1209" i="149"/>
  <c r="D1209" i="149"/>
  <c r="E1208" i="149"/>
  <c r="D1208" i="149"/>
  <c r="E1207" i="149"/>
  <c r="D1207" i="149"/>
  <c r="E1206" i="149"/>
  <c r="D1206" i="149"/>
  <c r="E1205" i="149"/>
  <c r="D1205" i="149"/>
  <c r="E1204" i="149"/>
  <c r="D1204" i="149"/>
  <c r="E1203" i="149"/>
  <c r="D1203" i="149"/>
  <c r="E1202" i="149"/>
  <c r="D1202" i="149"/>
  <c r="E1201" i="149"/>
  <c r="D1201" i="149"/>
  <c r="E1200" i="149"/>
  <c r="D1200" i="149"/>
  <c r="E1199" i="149"/>
  <c r="D1199" i="149"/>
  <c r="E1198" i="149"/>
  <c r="D1198" i="149"/>
  <c r="E1197" i="149"/>
  <c r="D1197" i="149"/>
  <c r="E1196" i="149"/>
  <c r="D1196" i="149"/>
  <c r="E1195" i="149"/>
  <c r="D1195" i="149"/>
  <c r="E1194" i="149"/>
  <c r="D1194" i="149"/>
  <c r="E1193" i="149"/>
  <c r="D1193" i="149"/>
  <c r="E1192" i="149"/>
  <c r="D1192" i="149"/>
  <c r="E1191" i="149"/>
  <c r="D1191" i="149"/>
  <c r="E1190" i="149"/>
  <c r="D1190" i="149"/>
  <c r="E1189" i="149"/>
  <c r="D1189" i="149"/>
  <c r="E1188" i="149"/>
  <c r="D1188" i="149"/>
  <c r="E1187" i="149"/>
  <c r="D1187" i="149"/>
  <c r="E1186" i="149"/>
  <c r="D1186" i="149"/>
  <c r="E1185" i="149"/>
  <c r="D1185" i="149"/>
  <c r="E1184" i="149"/>
  <c r="D1184" i="149"/>
  <c r="E1183" i="149"/>
  <c r="D1183" i="149"/>
  <c r="E1182" i="149"/>
  <c r="D1182" i="149"/>
  <c r="E1181" i="149"/>
  <c r="D1181" i="149"/>
  <c r="E1180" i="149"/>
  <c r="D1180" i="149"/>
  <c r="E1179" i="149"/>
  <c r="D1179" i="149"/>
  <c r="E1178" i="149"/>
  <c r="D1178" i="149"/>
  <c r="E1177" i="149"/>
  <c r="D1177" i="149"/>
  <c r="E1176" i="149"/>
  <c r="D1176" i="149"/>
  <c r="E1175" i="149"/>
  <c r="D1175" i="149"/>
  <c r="E1174" i="149"/>
  <c r="D1174" i="149"/>
  <c r="E1173" i="149"/>
  <c r="D1173" i="149"/>
  <c r="E1172" i="149"/>
  <c r="D1172" i="149"/>
  <c r="E1171" i="149"/>
  <c r="D1171" i="149"/>
  <c r="E1170" i="149"/>
  <c r="D1170" i="149"/>
  <c r="E1169" i="149"/>
  <c r="D1169" i="149"/>
  <c r="E1168" i="149"/>
  <c r="D1168" i="149"/>
  <c r="E1167" i="149"/>
  <c r="D1167" i="149"/>
  <c r="E1166" i="149"/>
  <c r="D1166" i="149"/>
  <c r="E1165" i="149"/>
  <c r="D1165" i="149"/>
  <c r="E1164" i="149"/>
  <c r="D1164" i="149"/>
  <c r="E1163" i="149"/>
  <c r="D1163" i="149"/>
  <c r="E1162" i="149"/>
  <c r="D1162" i="149"/>
  <c r="E1161" i="149"/>
  <c r="D1161" i="149"/>
  <c r="E1160" i="149"/>
  <c r="D1160" i="149"/>
  <c r="E1159" i="149"/>
  <c r="D1159" i="149"/>
  <c r="E1158" i="149"/>
  <c r="D1158" i="149"/>
  <c r="E1157" i="149"/>
  <c r="D1157" i="149"/>
  <c r="E1156" i="149"/>
  <c r="D1156" i="149"/>
  <c r="E1155" i="149"/>
  <c r="D1155" i="149"/>
  <c r="E1154" i="149"/>
  <c r="D1154" i="149"/>
  <c r="E1153" i="149"/>
  <c r="D1153" i="149"/>
  <c r="E1152" i="149"/>
  <c r="D1152" i="149"/>
  <c r="E1151" i="149"/>
  <c r="D1151" i="149"/>
  <c r="E1150" i="149"/>
  <c r="D1150" i="149"/>
  <c r="E1149" i="149"/>
  <c r="D1149" i="149"/>
  <c r="E1148" i="149"/>
  <c r="D1148" i="149"/>
  <c r="E1147" i="149"/>
  <c r="D1147" i="149"/>
  <c r="F1142" i="149"/>
  <c r="D1141" i="149"/>
  <c r="D1140" i="149"/>
  <c r="D1139" i="149"/>
  <c r="D1138" i="149"/>
  <c r="D1137" i="149"/>
  <c r="D1136" i="149"/>
  <c r="D1135" i="149"/>
  <c r="D1134" i="149"/>
  <c r="D1133" i="149"/>
  <c r="D1132" i="149"/>
  <c r="D1131" i="149"/>
  <c r="D1130" i="149"/>
  <c r="D1129" i="149"/>
  <c r="D1128" i="149"/>
  <c r="D1127" i="149"/>
  <c r="D1126" i="149"/>
  <c r="D1125" i="149"/>
  <c r="D1124" i="149"/>
  <c r="D1123" i="149"/>
  <c r="D1122" i="149"/>
  <c r="D1121" i="149"/>
  <c r="D1120" i="149"/>
  <c r="D1119" i="149"/>
  <c r="D1118" i="149"/>
  <c r="D1117" i="149"/>
  <c r="D1116" i="149"/>
  <c r="D1115" i="149"/>
  <c r="D1114" i="149"/>
  <c r="D1113" i="149"/>
  <c r="D1112" i="149"/>
  <c r="D1111" i="149"/>
  <c r="D1110" i="149"/>
  <c r="D1109" i="149"/>
  <c r="D1108" i="149"/>
  <c r="D1107" i="149"/>
  <c r="D1106" i="149"/>
  <c r="D1105" i="149"/>
  <c r="D1104" i="149"/>
  <c r="D1103" i="149"/>
  <c r="D1102" i="149"/>
  <c r="D1101" i="149"/>
  <c r="D1100" i="149"/>
  <c r="D1099" i="149"/>
  <c r="D1098" i="149"/>
  <c r="D1097" i="149"/>
  <c r="D1096" i="149"/>
  <c r="D1095" i="149"/>
  <c r="D1094" i="149"/>
  <c r="D1093" i="149"/>
  <c r="D1092" i="149"/>
  <c r="D1091" i="149"/>
  <c r="D1090" i="149"/>
  <c r="D1089" i="149"/>
  <c r="D1088" i="149"/>
  <c r="D1087" i="149"/>
  <c r="D1086" i="149"/>
  <c r="D1085" i="149"/>
  <c r="D1084" i="149"/>
  <c r="D1083" i="149"/>
  <c r="D1082" i="149"/>
  <c r="D1081" i="149"/>
  <c r="D1080" i="149"/>
  <c r="D1079" i="149"/>
  <c r="D1078" i="149"/>
  <c r="D1077" i="149"/>
  <c r="D1076" i="149"/>
  <c r="D1075" i="149"/>
  <c r="D1074" i="149"/>
  <c r="D1073" i="149"/>
  <c r="D1072" i="149"/>
  <c r="D1071" i="149"/>
  <c r="D1070" i="149"/>
  <c r="D1069" i="149"/>
  <c r="D1068" i="149"/>
  <c r="D1067" i="149"/>
  <c r="D1066" i="149"/>
  <c r="D1065" i="149"/>
  <c r="D1064" i="149"/>
  <c r="D1063" i="149"/>
  <c r="D1062" i="149"/>
  <c r="D1061" i="149"/>
  <c r="D1060" i="149"/>
  <c r="D1059" i="149"/>
  <c r="D1058" i="149"/>
  <c r="D1057" i="149"/>
  <c r="D1056" i="149"/>
  <c r="D1055" i="149"/>
  <c r="D1054" i="149"/>
  <c r="D1053" i="149"/>
  <c r="D1052" i="149"/>
  <c r="D1051" i="149"/>
  <c r="D1050" i="149"/>
  <c r="D1049" i="149"/>
  <c r="D1048" i="149"/>
  <c r="D1047" i="149"/>
  <c r="D1046" i="149"/>
  <c r="D1045" i="149"/>
  <c r="D1044" i="149"/>
  <c r="D1043" i="149"/>
  <c r="D1042" i="149"/>
  <c r="D1041" i="149"/>
  <c r="D1040" i="149"/>
  <c r="D1039" i="149"/>
  <c r="D1038" i="149"/>
  <c r="D1037" i="149"/>
  <c r="D1036" i="149"/>
  <c r="D1035" i="149"/>
  <c r="D1034" i="149"/>
  <c r="D1033" i="149"/>
  <c r="D1032" i="149"/>
  <c r="D1031" i="149"/>
  <c r="D1030" i="149"/>
  <c r="D1029" i="149"/>
  <c r="D1028" i="149"/>
  <c r="D1027" i="149"/>
  <c r="D1026" i="149"/>
  <c r="D1025" i="149"/>
  <c r="D1024" i="149"/>
  <c r="D1023" i="149"/>
  <c r="D1022" i="149"/>
  <c r="D1021" i="149"/>
  <c r="D1020" i="149"/>
  <c r="D1019" i="149"/>
  <c r="D1018" i="149"/>
  <c r="D1017" i="149"/>
  <c r="D1016" i="149"/>
  <c r="D1015" i="149"/>
  <c r="D1014" i="149"/>
  <c r="D1013" i="149"/>
  <c r="D1012" i="149"/>
  <c r="D1011" i="149"/>
  <c r="D1010" i="149"/>
  <c r="D1009" i="149"/>
  <c r="D1008" i="149"/>
  <c r="D1007" i="149"/>
  <c r="D1006" i="149"/>
  <c r="D1005" i="149"/>
  <c r="D1004" i="149"/>
  <c r="D1003" i="149"/>
  <c r="D1002" i="149"/>
  <c r="D1001" i="149"/>
  <c r="D1000" i="149"/>
  <c r="D999" i="149"/>
  <c r="D998" i="149"/>
  <c r="D997" i="149"/>
  <c r="D996" i="149"/>
  <c r="D995" i="149"/>
  <c r="D994" i="149"/>
  <c r="D993" i="149"/>
  <c r="D992" i="149"/>
  <c r="D991" i="149"/>
  <c r="D990" i="149"/>
  <c r="D989" i="149"/>
  <c r="D988" i="149"/>
  <c r="D987" i="149"/>
  <c r="D986" i="149"/>
  <c r="D985" i="149"/>
  <c r="D984" i="149"/>
  <c r="D983" i="149"/>
  <c r="D982" i="149"/>
  <c r="D981" i="149"/>
  <c r="D980" i="149"/>
  <c r="D979" i="149"/>
  <c r="D978" i="149"/>
  <c r="D977" i="149"/>
  <c r="D976" i="149"/>
  <c r="D975" i="149"/>
  <c r="D974" i="149"/>
  <c r="D973" i="149"/>
  <c r="B973" i="149"/>
  <c r="D972" i="149"/>
  <c r="D971" i="149"/>
  <c r="D970" i="149"/>
  <c r="D969" i="149"/>
  <c r="D968" i="149"/>
  <c r="D967" i="149"/>
  <c r="D966" i="149"/>
  <c r="D965" i="149"/>
  <c r="D964" i="149"/>
  <c r="D963" i="149"/>
  <c r="D962" i="149"/>
  <c r="D961" i="149"/>
  <c r="D960" i="149"/>
  <c r="D959" i="149"/>
  <c r="D958" i="149"/>
  <c r="D957" i="149"/>
  <c r="D956" i="149"/>
  <c r="D955" i="149"/>
  <c r="D954" i="149"/>
  <c r="D953" i="149"/>
  <c r="D952" i="149"/>
  <c r="D951" i="149"/>
  <c r="D950" i="149"/>
  <c r="D949" i="149"/>
  <c r="D948" i="149"/>
  <c r="D947" i="149"/>
  <c r="D946" i="149"/>
  <c r="D945" i="149"/>
  <c r="D944" i="149"/>
  <c r="D943" i="149"/>
  <c r="D942" i="149"/>
  <c r="D941" i="149"/>
  <c r="D940" i="149"/>
  <c r="D939" i="149"/>
  <c r="D938" i="149"/>
  <c r="D937" i="149"/>
  <c r="D936" i="149"/>
  <c r="D935" i="149"/>
  <c r="D934" i="149"/>
  <c r="D933" i="149"/>
  <c r="D932" i="149"/>
  <c r="D931" i="149"/>
  <c r="D930" i="149"/>
  <c r="D929" i="149"/>
  <c r="D928" i="149"/>
  <c r="D927" i="149"/>
  <c r="D926" i="149"/>
  <c r="D925" i="149"/>
  <c r="D924" i="149"/>
  <c r="D923" i="149"/>
  <c r="D922" i="149"/>
  <c r="D921" i="149"/>
  <c r="D920" i="149"/>
  <c r="D919" i="149"/>
  <c r="D918" i="149"/>
  <c r="D917" i="149"/>
  <c r="D916" i="149"/>
  <c r="D915" i="149"/>
  <c r="D914" i="149"/>
  <c r="D913" i="149"/>
  <c r="D912" i="149"/>
  <c r="D911" i="149"/>
  <c r="D910" i="149"/>
  <c r="D909" i="149"/>
  <c r="D908" i="149"/>
  <c r="D907" i="149"/>
  <c r="D906" i="149"/>
  <c r="D905" i="149"/>
  <c r="D904" i="149"/>
  <c r="D903" i="149"/>
  <c r="D902" i="149"/>
  <c r="D901" i="149"/>
  <c r="D900" i="149"/>
  <c r="D899" i="149"/>
  <c r="D898" i="149"/>
  <c r="D897" i="149"/>
  <c r="D896" i="149"/>
  <c r="D895" i="149"/>
  <c r="D894" i="149"/>
  <c r="D893" i="149"/>
  <c r="D889" i="149"/>
  <c r="D888" i="149"/>
  <c r="D887" i="149"/>
  <c r="D886" i="149"/>
  <c r="D881" i="149"/>
  <c r="D880" i="149"/>
  <c r="D879" i="149"/>
  <c r="D878" i="149"/>
  <c r="D877" i="149"/>
  <c r="D876" i="149"/>
  <c r="D875" i="149"/>
  <c r="D874" i="149"/>
  <c r="D873" i="149"/>
  <c r="D872" i="149"/>
  <c r="D871" i="149"/>
  <c r="D870" i="149"/>
  <c r="D869" i="149"/>
  <c r="D868" i="149"/>
  <c r="D867" i="149"/>
  <c r="D866" i="149"/>
  <c r="D865" i="149"/>
  <c r="D864" i="149"/>
  <c r="D863" i="149"/>
  <c r="D862" i="149"/>
  <c r="D861" i="149"/>
  <c r="D860" i="149"/>
  <c r="D859" i="149"/>
  <c r="D858" i="149"/>
  <c r="D857" i="149"/>
  <c r="D856" i="149"/>
  <c r="D855" i="149"/>
  <c r="D854" i="149"/>
  <c r="D853" i="149"/>
  <c r="D852" i="149"/>
  <c r="D851" i="149"/>
  <c r="D850" i="149"/>
  <c r="D849" i="149"/>
  <c r="D848" i="149"/>
  <c r="D847" i="149"/>
  <c r="D846" i="149"/>
  <c r="F843" i="149"/>
  <c r="D842" i="149"/>
  <c r="D841" i="149"/>
  <c r="D840" i="149"/>
  <c r="D839" i="149"/>
  <c r="D838" i="149"/>
  <c r="D837" i="149"/>
  <c r="D836" i="149"/>
  <c r="D835" i="149"/>
  <c r="D834" i="149"/>
  <c r="D833" i="149"/>
  <c r="D832" i="149"/>
  <c r="D831" i="149"/>
  <c r="D830" i="149"/>
  <c r="D829" i="149"/>
  <c r="D828" i="149"/>
  <c r="D827" i="149"/>
  <c r="D826" i="149"/>
  <c r="D825" i="149"/>
  <c r="D824" i="149"/>
  <c r="D823" i="149"/>
  <c r="D822" i="149"/>
  <c r="D821" i="149"/>
  <c r="D820" i="149"/>
  <c r="D819" i="149"/>
  <c r="D818" i="149"/>
  <c r="D817" i="149"/>
  <c r="D816" i="149"/>
  <c r="D815" i="149"/>
  <c r="D814" i="149"/>
  <c r="D813" i="149"/>
  <c r="D812" i="149"/>
  <c r="D811" i="149"/>
  <c r="D810" i="149"/>
  <c r="D809" i="149"/>
  <c r="D808" i="149"/>
  <c r="F800" i="149"/>
  <c r="D799" i="149"/>
  <c r="D798" i="149"/>
  <c r="D793" i="149"/>
  <c r="D791" i="149"/>
  <c r="E789" i="149"/>
  <c r="F789" i="149" s="1"/>
  <c r="C788" i="149"/>
  <c r="C787" i="149"/>
  <c r="C786" i="149"/>
  <c r="C785" i="149"/>
  <c r="C784" i="149"/>
  <c r="C783" i="149"/>
  <c r="C782" i="149"/>
  <c r="C781" i="149"/>
  <c r="C780" i="149"/>
  <c r="C779" i="149"/>
  <c r="C778" i="149"/>
  <c r="C777" i="149"/>
  <c r="C776" i="149"/>
  <c r="E775" i="149"/>
  <c r="C774" i="149"/>
  <c r="C773" i="149"/>
  <c r="C772" i="149"/>
  <c r="C771" i="149"/>
  <c r="C770" i="149"/>
  <c r="C769" i="149"/>
  <c r="C768" i="149"/>
  <c r="C767" i="149"/>
  <c r="C766" i="149"/>
  <c r="C765" i="149"/>
  <c r="C764" i="149"/>
  <c r="C763" i="149"/>
  <c r="C762" i="149"/>
  <c r="C761" i="149"/>
  <c r="C760" i="149"/>
  <c r="C759" i="149"/>
  <c r="C758" i="149"/>
  <c r="E756" i="149"/>
  <c r="F756" i="149" s="1"/>
  <c r="C755" i="149"/>
  <c r="C754" i="149"/>
  <c r="E752" i="149"/>
  <c r="C751" i="149"/>
  <c r="C750" i="149"/>
  <c r="C749" i="149"/>
  <c r="C748" i="149"/>
  <c r="C747" i="149"/>
  <c r="C746" i="149"/>
  <c r="C745" i="149"/>
  <c r="C744" i="149"/>
  <c r="F740" i="149"/>
  <c r="E740" i="149"/>
  <c r="C739" i="149"/>
  <c r="C738" i="149"/>
  <c r="C737" i="149"/>
  <c r="C736" i="149"/>
  <c r="F734" i="149"/>
  <c r="E734" i="149"/>
  <c r="C733" i="149"/>
  <c r="C732" i="149"/>
  <c r="C731" i="149"/>
  <c r="C730" i="149"/>
  <c r="C729" i="149"/>
  <c r="C728" i="149"/>
  <c r="C727" i="149"/>
  <c r="C726" i="149"/>
  <c r="C725" i="149"/>
  <c r="C724" i="149"/>
  <c r="C723" i="149"/>
  <c r="C722" i="149"/>
  <c r="F719" i="149"/>
  <c r="C718" i="149"/>
  <c r="A718" i="149"/>
  <c r="C717" i="149"/>
  <c r="A717" i="149"/>
  <c r="C716" i="149"/>
  <c r="A716" i="149"/>
  <c r="C715" i="149"/>
  <c r="A715" i="149"/>
  <c r="C714" i="149"/>
  <c r="A714" i="149"/>
  <c r="C713" i="149"/>
  <c r="A713" i="149"/>
  <c r="F708" i="149"/>
  <c r="E708" i="149"/>
  <c r="C707" i="149"/>
  <c r="C706" i="149"/>
  <c r="C705" i="149"/>
  <c r="C704" i="149"/>
  <c r="C703" i="149"/>
  <c r="C702" i="149"/>
  <c r="C701" i="149"/>
  <c r="C700" i="149"/>
  <c r="C699" i="149"/>
  <c r="C698" i="149"/>
  <c r="C697" i="149"/>
  <c r="C696" i="149"/>
  <c r="C695" i="149"/>
  <c r="C694" i="149"/>
  <c r="C693" i="149"/>
  <c r="C692" i="149"/>
  <c r="C691" i="149"/>
  <c r="C690" i="149"/>
  <c r="C689" i="149"/>
  <c r="C688" i="149"/>
  <c r="C687" i="149"/>
  <c r="C686" i="149"/>
  <c r="C685" i="149"/>
  <c r="C684" i="149"/>
  <c r="C683" i="149"/>
  <c r="F680" i="149"/>
  <c r="E680" i="149"/>
  <c r="C679" i="149"/>
  <c r="C678" i="149"/>
  <c r="C677" i="149"/>
  <c r="C676" i="149"/>
  <c r="C674" i="149"/>
  <c r="C673" i="149"/>
  <c r="F672" i="149"/>
  <c r="E672" i="149"/>
  <c r="C671" i="149"/>
  <c r="C636" i="149" s="1"/>
  <c r="C670" i="149"/>
  <c r="C665" i="149"/>
  <c r="C664" i="149"/>
  <c r="C663" i="149"/>
  <c r="D660" i="149"/>
  <c r="D658" i="149"/>
  <c r="F657" i="149"/>
  <c r="E657" i="149"/>
  <c r="C656" i="149"/>
  <c r="C655" i="149"/>
  <c r="C654" i="149"/>
  <c r="C653" i="149"/>
  <c r="C652" i="149"/>
  <c r="C651" i="149"/>
  <c r="C650" i="149"/>
  <c r="C649" i="149"/>
  <c r="C648" i="149"/>
  <c r="C647" i="149"/>
  <c r="F645" i="149"/>
  <c r="E645" i="149"/>
  <c r="C644" i="149"/>
  <c r="F641" i="149"/>
  <c r="E641" i="149"/>
  <c r="C640" i="149"/>
  <c r="C639" i="149"/>
  <c r="C637" i="149"/>
  <c r="C635" i="149"/>
  <c r="C634" i="149"/>
  <c r="F629" i="149"/>
  <c r="E629" i="149"/>
  <c r="C628" i="149"/>
  <c r="C627" i="149"/>
  <c r="C626" i="149"/>
  <c r="C625" i="149"/>
  <c r="C624" i="149"/>
  <c r="C623" i="149"/>
  <c r="C622" i="149"/>
  <c r="C621" i="149"/>
  <c r="C620" i="149"/>
  <c r="C619" i="149"/>
  <c r="C618" i="149"/>
  <c r="C617" i="149"/>
  <c r="C616" i="149"/>
  <c r="C615" i="149"/>
  <c r="C614" i="149"/>
  <c r="C613" i="149"/>
  <c r="C612" i="149"/>
  <c r="C611" i="149"/>
  <c r="C610" i="149"/>
  <c r="C609" i="149"/>
  <c r="C608" i="149"/>
  <c r="C607" i="149"/>
  <c r="C606" i="149"/>
  <c r="C605" i="149"/>
  <c r="C604" i="149"/>
  <c r="C603" i="149"/>
  <c r="C602" i="149"/>
  <c r="C601" i="149"/>
  <c r="C600" i="149"/>
  <c r="C599" i="149"/>
  <c r="C598" i="149"/>
  <c r="C597" i="149"/>
  <c r="C596" i="149"/>
  <c r="C595" i="149"/>
  <c r="C594" i="149"/>
  <c r="C593" i="149"/>
  <c r="C592" i="149"/>
  <c r="C591" i="149"/>
  <c r="C590" i="149"/>
  <c r="C589" i="149"/>
  <c r="C588" i="149"/>
  <c r="C587" i="149"/>
  <c r="C585" i="149"/>
  <c r="C584" i="149"/>
  <c r="C583" i="149"/>
  <c r="C582" i="149"/>
  <c r="C581" i="149"/>
  <c r="C580" i="149"/>
  <c r="C579" i="149"/>
  <c r="C578" i="149"/>
  <c r="C577" i="149"/>
  <c r="C576" i="149"/>
  <c r="C575" i="149"/>
  <c r="F569" i="149"/>
  <c r="C568" i="149"/>
  <c r="D569" i="149" s="1"/>
  <c r="A568" i="149"/>
  <c r="F564" i="149"/>
  <c r="E564" i="149"/>
  <c r="C563" i="149"/>
  <c r="C562" i="149"/>
  <c r="C561" i="149"/>
  <c r="C560" i="149"/>
  <c r="C559" i="149"/>
  <c r="C558" i="149"/>
  <c r="C557" i="149"/>
  <c r="C556" i="149"/>
  <c r="C555" i="149"/>
  <c r="C554" i="149"/>
  <c r="C553" i="149"/>
  <c r="C552" i="149"/>
  <c r="C551" i="149"/>
  <c r="C550" i="149"/>
  <c r="C549" i="149"/>
  <c r="C548" i="149"/>
  <c r="C547" i="149"/>
  <c r="C546" i="149"/>
  <c r="D542" i="149"/>
  <c r="F541" i="149"/>
  <c r="E541" i="149"/>
  <c r="C538" i="149"/>
  <c r="C536" i="149"/>
  <c r="C535" i="149"/>
  <c r="C534" i="149"/>
  <c r="C533" i="149"/>
  <c r="C532" i="149"/>
  <c r="C531" i="149"/>
  <c r="C530" i="149"/>
  <c r="C529" i="149"/>
  <c r="C528" i="149"/>
  <c r="C527" i="149"/>
  <c r="C526" i="149"/>
  <c r="F520" i="149"/>
  <c r="E520" i="149"/>
  <c r="C518" i="149"/>
  <c r="B518" i="149"/>
  <c r="C516" i="149"/>
  <c r="B516" i="149"/>
  <c r="C515" i="149"/>
  <c r="B515" i="149"/>
  <c r="C514" i="149"/>
  <c r="B514" i="149"/>
  <c r="C513" i="149"/>
  <c r="B513" i="149"/>
  <c r="C512" i="149"/>
  <c r="B512" i="149"/>
  <c r="C511" i="149"/>
  <c r="B511" i="149"/>
  <c r="C510" i="149"/>
  <c r="C509" i="149"/>
  <c r="C508" i="149"/>
  <c r="C507" i="149"/>
  <c r="C506" i="149"/>
  <c r="C505" i="149"/>
  <c r="C504" i="149"/>
  <c r="C503" i="149"/>
  <c r="C502" i="149"/>
  <c r="C501" i="149"/>
  <c r="C500" i="149"/>
  <c r="C499" i="149"/>
  <c r="C498" i="149"/>
  <c r="C497" i="149"/>
  <c r="F489" i="149"/>
  <c r="E489" i="149"/>
  <c r="F487" i="149"/>
  <c r="C487" i="149"/>
  <c r="C486" i="149"/>
  <c r="C485" i="149"/>
  <c r="C484" i="149"/>
  <c r="C483" i="149"/>
  <c r="C482" i="149"/>
  <c r="C481" i="149"/>
  <c r="C480" i="149"/>
  <c r="C479" i="149"/>
  <c r="F475" i="149"/>
  <c r="D474" i="149"/>
  <c r="D473" i="149"/>
  <c r="F470" i="149"/>
  <c r="C469" i="149"/>
  <c r="D470" i="149" s="1"/>
  <c r="A469" i="149"/>
  <c r="C463" i="149"/>
  <c r="C462" i="149"/>
  <c r="D461" i="149"/>
  <c r="C459" i="149"/>
  <c r="E458" i="149"/>
  <c r="E460" i="149" s="1"/>
  <c r="F460" i="149" s="1"/>
  <c r="C457" i="149"/>
  <c r="C456" i="149"/>
  <c r="E453" i="149"/>
  <c r="F453" i="149" s="1"/>
  <c r="C452" i="149"/>
  <c r="C451" i="149"/>
  <c r="C453" i="149" s="1"/>
  <c r="D453" i="149" s="1"/>
  <c r="E449" i="149"/>
  <c r="F449" i="149" s="1"/>
  <c r="C448" i="149"/>
  <c r="C447" i="149"/>
  <c r="E446" i="149"/>
  <c r="F446" i="149" s="1"/>
  <c r="C445" i="149"/>
  <c r="C444" i="149"/>
  <c r="C443" i="149"/>
  <c r="E438" i="149"/>
  <c r="E466" i="149" s="1"/>
  <c r="C437" i="149"/>
  <c r="E436" i="149"/>
  <c r="C435" i="149"/>
  <c r="B435" i="149"/>
  <c r="A435" i="149"/>
  <c r="C434" i="149"/>
  <c r="B434" i="149"/>
  <c r="A434" i="149"/>
  <c r="C433" i="149"/>
  <c r="B433" i="149"/>
  <c r="A433" i="149"/>
  <c r="C432" i="149"/>
  <c r="B432" i="149"/>
  <c r="A432" i="149"/>
  <c r="C431" i="149"/>
  <c r="B431" i="149"/>
  <c r="A431" i="149"/>
  <c r="C430" i="149"/>
  <c r="B430" i="149"/>
  <c r="A430" i="149"/>
  <c r="C429" i="149"/>
  <c r="C428" i="149"/>
  <c r="C427" i="149"/>
  <c r="C426" i="149"/>
  <c r="C425" i="149"/>
  <c r="C424" i="149"/>
  <c r="C423" i="149"/>
  <c r="C422" i="149"/>
  <c r="C421" i="149"/>
  <c r="C420" i="149"/>
  <c r="C419" i="149"/>
  <c r="C418" i="149"/>
  <c r="C417" i="149"/>
  <c r="C416" i="149"/>
  <c r="C415" i="149"/>
  <c r="C414" i="149"/>
  <c r="C411" i="149"/>
  <c r="E410" i="149"/>
  <c r="E412" i="149" s="1"/>
  <c r="F412" i="149" s="1"/>
  <c r="C409" i="149"/>
  <c r="F397" i="149"/>
  <c r="D397" i="149"/>
  <c r="D396" i="149"/>
  <c r="D395" i="149"/>
  <c r="F394" i="149"/>
  <c r="E394" i="149"/>
  <c r="C393" i="149"/>
  <c r="C392" i="149"/>
  <c r="D392" i="149" s="1"/>
  <c r="D387" i="149"/>
  <c r="G387" i="149" s="1"/>
  <c r="D382" i="149"/>
  <c r="F381" i="149"/>
  <c r="F383" i="149" s="1"/>
  <c r="F384" i="149" s="1"/>
  <c r="E381" i="149"/>
  <c r="C380" i="149"/>
  <c r="C379" i="149"/>
  <c r="D375" i="149"/>
  <c r="D374" i="149"/>
  <c r="F370" i="149"/>
  <c r="C369" i="149"/>
  <c r="C368" i="149"/>
  <c r="C367" i="149"/>
  <c r="C366" i="149"/>
  <c r="C363" i="149"/>
  <c r="D363" i="149" s="1"/>
  <c r="E362" i="149"/>
  <c r="F362" i="149" s="1"/>
  <c r="C361" i="149"/>
  <c r="C360" i="149"/>
  <c r="C362" i="149" s="1"/>
  <c r="D357" i="149"/>
  <c r="D356" i="149"/>
  <c r="D354" i="149"/>
  <c r="D350" i="149"/>
  <c r="D349" i="149"/>
  <c r="F347" i="149"/>
  <c r="E347" i="149"/>
  <c r="C346" i="149"/>
  <c r="C345" i="149"/>
  <c r="C343" i="149"/>
  <c r="C342" i="149"/>
  <c r="C341" i="149"/>
  <c r="C340" i="149"/>
  <c r="C339" i="149"/>
  <c r="D332" i="149"/>
  <c r="D330" i="149"/>
  <c r="F329" i="149"/>
  <c r="F333" i="149" s="1"/>
  <c r="E329" i="149"/>
  <c r="C328" i="149"/>
  <c r="C327" i="149"/>
  <c r="C326" i="149"/>
  <c r="C325" i="149"/>
  <c r="C324" i="149"/>
  <c r="C323" i="149"/>
  <c r="C322" i="149"/>
  <c r="C321" i="149"/>
  <c r="C320" i="149"/>
  <c r="C319" i="149"/>
  <c r="C318" i="149"/>
  <c r="C317" i="149"/>
  <c r="C316" i="149"/>
  <c r="C315" i="149"/>
  <c r="C314" i="149"/>
  <c r="C313" i="149"/>
  <c r="C312" i="149"/>
  <c r="F307" i="149"/>
  <c r="F309" i="149" s="1"/>
  <c r="C307" i="149"/>
  <c r="C306" i="149"/>
  <c r="C305" i="149"/>
  <c r="D298" i="149"/>
  <c r="F295" i="149"/>
  <c r="F299" i="149" s="1"/>
  <c r="E295" i="149"/>
  <c r="C294" i="149"/>
  <c r="C293" i="149"/>
  <c r="C291" i="149"/>
  <c r="C290" i="149"/>
  <c r="C289" i="149"/>
  <c r="C288" i="149"/>
  <c r="D281" i="149"/>
  <c r="D280" i="149"/>
  <c r="F279" i="149"/>
  <c r="F282" i="149" s="1"/>
  <c r="E279" i="149"/>
  <c r="C278" i="149"/>
  <c r="C277" i="149"/>
  <c r="C276" i="149"/>
  <c r="C275" i="149"/>
  <c r="C274" i="149"/>
  <c r="C273" i="149"/>
  <c r="C272" i="149"/>
  <c r="C271" i="149"/>
  <c r="C270" i="149"/>
  <c r="C269" i="149"/>
  <c r="C268" i="149"/>
  <c r="C267" i="149"/>
  <c r="C266" i="149"/>
  <c r="C265" i="149"/>
  <c r="C264" i="149"/>
  <c r="C263" i="149"/>
  <c r="C262" i="149"/>
  <c r="C261" i="149"/>
  <c r="F259" i="149"/>
  <c r="E259" i="149"/>
  <c r="C258" i="149"/>
  <c r="C257" i="149"/>
  <c r="F255" i="149"/>
  <c r="D255" i="149"/>
  <c r="F253" i="149"/>
  <c r="E253" i="149"/>
  <c r="C252" i="149"/>
  <c r="C251" i="149"/>
  <c r="C250" i="149"/>
  <c r="C249" i="149"/>
  <c r="C248" i="149"/>
  <c r="D246" i="149"/>
  <c r="F245" i="149"/>
  <c r="E245" i="149"/>
  <c r="C244" i="149"/>
  <c r="C243" i="149"/>
  <c r="C242" i="149"/>
  <c r="C241" i="149"/>
  <c r="F239" i="149"/>
  <c r="E239" i="149"/>
  <c r="C238" i="149"/>
  <c r="C237" i="149"/>
  <c r="C236" i="149"/>
  <c r="C235" i="149"/>
  <c r="C234" i="149"/>
  <c r="C233" i="149"/>
  <c r="C232" i="149"/>
  <c r="C231" i="149"/>
  <c r="C230" i="149"/>
  <c r="C229" i="149"/>
  <c r="D226" i="149"/>
  <c r="D223" i="149"/>
  <c r="D222" i="149"/>
  <c r="D221" i="149"/>
  <c r="F219" i="149"/>
  <c r="E219" i="149"/>
  <c r="C217" i="149"/>
  <c r="C216" i="149"/>
  <c r="C215" i="149"/>
  <c r="C214" i="149"/>
  <c r="C213" i="149"/>
  <c r="C212" i="149"/>
  <c r="C211" i="149"/>
  <c r="C210" i="149"/>
  <c r="C209" i="149"/>
  <c r="C208" i="149"/>
  <c r="C207" i="149"/>
  <c r="C206" i="149"/>
  <c r="C205" i="149"/>
  <c r="C204" i="149"/>
  <c r="C203" i="149"/>
  <c r="F200" i="149"/>
  <c r="E200" i="149"/>
  <c r="C199" i="149"/>
  <c r="C198" i="149"/>
  <c r="C197" i="149"/>
  <c r="B197" i="149"/>
  <c r="A197" i="149"/>
  <c r="C196" i="149"/>
  <c r="C195" i="149"/>
  <c r="C194" i="149"/>
  <c r="C193" i="149"/>
  <c r="C192" i="149"/>
  <c r="F183" i="149"/>
  <c r="D177" i="149"/>
  <c r="D179" i="149" s="1"/>
  <c r="F175" i="149"/>
  <c r="F173" i="149"/>
  <c r="F172" i="149"/>
  <c r="E172" i="149"/>
  <c r="C171" i="149"/>
  <c r="C170" i="149"/>
  <c r="C169" i="149"/>
  <c r="C168" i="149"/>
  <c r="C167" i="149"/>
  <c r="C166" i="149"/>
  <c r="C165" i="149"/>
  <c r="C164" i="149"/>
  <c r="D174" i="149" s="1"/>
  <c r="F154" i="149"/>
  <c r="F155" i="149" s="1"/>
  <c r="C154" i="149"/>
  <c r="C153" i="149"/>
  <c r="C152" i="149"/>
  <c r="F148" i="149"/>
  <c r="E148" i="149"/>
  <c r="F142" i="149"/>
  <c r="E142" i="149"/>
  <c r="F135" i="149"/>
  <c r="D134" i="149"/>
  <c r="D133" i="149"/>
  <c r="C140" i="149" s="1"/>
  <c r="D132" i="149"/>
  <c r="D131" i="149"/>
  <c r="D130" i="149"/>
  <c r="D129" i="149"/>
  <c r="D128" i="149"/>
  <c r="F125" i="149"/>
  <c r="F149" i="149" s="1"/>
  <c r="D124" i="149"/>
  <c r="D123" i="149"/>
  <c r="D122" i="149"/>
  <c r="D121" i="149"/>
  <c r="C147" i="149" s="1"/>
  <c r="D120" i="149"/>
  <c r="C146" i="149" s="1"/>
  <c r="D119" i="149"/>
  <c r="D118" i="149"/>
  <c r="D114" i="149"/>
  <c r="D111" i="149"/>
  <c r="F109" i="149"/>
  <c r="F112" i="149" s="1"/>
  <c r="E109" i="149"/>
  <c r="C108" i="149"/>
  <c r="C107" i="149"/>
  <c r="C106" i="149"/>
  <c r="C105" i="149"/>
  <c r="C104" i="149"/>
  <c r="C103" i="149"/>
  <c r="C102" i="149"/>
  <c r="C101" i="149"/>
  <c r="C100" i="149"/>
  <c r="C99" i="149"/>
  <c r="C98" i="149"/>
  <c r="C97" i="149"/>
  <c r="C96" i="149"/>
  <c r="C95" i="149"/>
  <c r="F90" i="149"/>
  <c r="F89" i="149"/>
  <c r="E89" i="149"/>
  <c r="C88" i="149"/>
  <c r="C87" i="149"/>
  <c r="C86" i="149"/>
  <c r="C85" i="149"/>
  <c r="C84" i="149"/>
  <c r="C83" i="149"/>
  <c r="C82" i="149"/>
  <c r="C81" i="149"/>
  <c r="C80" i="149"/>
  <c r="C79" i="149"/>
  <c r="C78" i="149"/>
  <c r="C77" i="149"/>
  <c r="C76" i="149"/>
  <c r="C75" i="149"/>
  <c r="F72" i="149"/>
  <c r="E72" i="149"/>
  <c r="C71" i="149"/>
  <c r="C70" i="149"/>
  <c r="C69" i="149"/>
  <c r="C68" i="149"/>
  <c r="C67" i="149"/>
  <c r="C66" i="149"/>
  <c r="C65" i="149"/>
  <c r="C64" i="149"/>
  <c r="C63" i="149"/>
  <c r="C62" i="149"/>
  <c r="C61" i="149"/>
  <c r="C60" i="149"/>
  <c r="C59" i="149"/>
  <c r="C57" i="149"/>
  <c r="F53" i="149"/>
  <c r="E53" i="149"/>
  <c r="C52" i="149"/>
  <c r="C51" i="149"/>
  <c r="C53" i="149" s="1"/>
  <c r="D53" i="149" s="1"/>
  <c r="F48" i="149"/>
  <c r="E48" i="149"/>
  <c r="C47" i="149"/>
  <c r="A47" i="149"/>
  <c r="C46" i="149"/>
  <c r="F42" i="149"/>
  <c r="E42" i="149"/>
  <c r="C41" i="149"/>
  <c r="C40" i="149"/>
  <c r="C39" i="149"/>
  <c r="C38" i="149"/>
  <c r="C37" i="149"/>
  <c r="C36" i="149"/>
  <c r="C35" i="149"/>
  <c r="C34" i="149"/>
  <c r="C33" i="149"/>
  <c r="C32" i="149"/>
  <c r="C31" i="149"/>
  <c r="C30" i="149"/>
  <c r="C29" i="149"/>
  <c r="C28" i="149"/>
  <c r="F26" i="149"/>
  <c r="F43" i="149" s="1"/>
  <c r="E26" i="149"/>
  <c r="C25" i="149"/>
  <c r="C24" i="149"/>
  <c r="C23" i="149"/>
  <c r="C22" i="149"/>
  <c r="C21" i="149"/>
  <c r="C20" i="149"/>
  <c r="C19" i="149"/>
  <c r="C18" i="149"/>
  <c r="C17" i="149"/>
  <c r="C16" i="149"/>
  <c r="C15" i="149"/>
  <c r="C14" i="149"/>
  <c r="C13" i="149"/>
  <c r="C12" i="149"/>
  <c r="C11" i="149"/>
  <c r="C10" i="149"/>
  <c r="C9" i="149"/>
  <c r="E3" i="149"/>
  <c r="F1145" i="149" s="1"/>
  <c r="C3" i="149"/>
  <c r="D1145" i="149" s="1"/>
  <c r="E481" i="148"/>
  <c r="D481" i="148"/>
  <c r="M472" i="148"/>
  <c r="K472" i="148"/>
  <c r="E452" i="148" s="1"/>
  <c r="B471" i="148"/>
  <c r="E471" i="148" s="1"/>
  <c r="F471" i="148" s="1"/>
  <c r="B470" i="148"/>
  <c r="E470" i="148" s="1"/>
  <c r="F470" i="148" s="1"/>
  <c r="B469" i="148"/>
  <c r="E469" i="148" s="1"/>
  <c r="F469" i="148" s="1"/>
  <c r="F468" i="148"/>
  <c r="E468" i="148"/>
  <c r="B468" i="148"/>
  <c r="B467" i="148"/>
  <c r="E467" i="148" s="1"/>
  <c r="F467" i="148" s="1"/>
  <c r="E458" i="148"/>
  <c r="E438" i="148"/>
  <c r="D437" i="148"/>
  <c r="D28" i="5" s="1"/>
  <c r="E432" i="148"/>
  <c r="D432" i="148"/>
  <c r="E431" i="148"/>
  <c r="D431" i="148"/>
  <c r="E430" i="148"/>
  <c r="D430" i="148"/>
  <c r="E429" i="148"/>
  <c r="D429" i="148"/>
  <c r="E427" i="148"/>
  <c r="D427" i="148"/>
  <c r="D426" i="148"/>
  <c r="E425" i="148"/>
  <c r="E25" i="9" s="1"/>
  <c r="D425" i="148"/>
  <c r="D25" i="9" s="1"/>
  <c r="E424" i="148"/>
  <c r="E24" i="9" s="1"/>
  <c r="D424" i="148"/>
  <c r="E423" i="148"/>
  <c r="E28" i="9" s="1"/>
  <c r="D423" i="148"/>
  <c r="D28" i="9" s="1"/>
  <c r="E422" i="148"/>
  <c r="E22" i="9" s="1"/>
  <c r="D422" i="148"/>
  <c r="D22" i="9" s="1"/>
  <c r="E421" i="148"/>
  <c r="E29" i="9" s="1"/>
  <c r="D421" i="148"/>
  <c r="D29" i="9" s="1"/>
  <c r="E420" i="148"/>
  <c r="E21" i="9" s="1"/>
  <c r="D420" i="148"/>
  <c r="D21" i="9" s="1"/>
  <c r="E419" i="148"/>
  <c r="D419" i="148"/>
  <c r="E418" i="148"/>
  <c r="E20" i="9" s="1"/>
  <c r="D418" i="148"/>
  <c r="E417" i="148"/>
  <c r="E19" i="9" s="1"/>
  <c r="D417" i="148"/>
  <c r="D19" i="9" s="1"/>
  <c r="E416" i="148"/>
  <c r="E18" i="9" s="1"/>
  <c r="D416" i="148"/>
  <c r="E415" i="148"/>
  <c r="D415" i="148"/>
  <c r="F415" i="148" s="1"/>
  <c r="E414" i="148"/>
  <c r="E12" i="9" s="1"/>
  <c r="D414" i="148"/>
  <c r="D12" i="9" s="1"/>
  <c r="E413" i="148"/>
  <c r="E16" i="9" s="1"/>
  <c r="D413" i="148"/>
  <c r="D16" i="9" s="1"/>
  <c r="E412" i="148"/>
  <c r="D412" i="148"/>
  <c r="E411" i="148"/>
  <c r="E14" i="9" s="1"/>
  <c r="D411" i="148"/>
  <c r="D14" i="9" s="1"/>
  <c r="F410" i="148"/>
  <c r="E409" i="148"/>
  <c r="D409" i="148"/>
  <c r="E408" i="148"/>
  <c r="E10" i="9" s="1"/>
  <c r="D408" i="148"/>
  <c r="D10" i="9" s="1"/>
  <c r="E407" i="148"/>
  <c r="E10" i="93" s="1"/>
  <c r="D407" i="148"/>
  <c r="D10" i="93" s="1"/>
  <c r="E406" i="148"/>
  <c r="D406" i="148"/>
  <c r="D9" i="93" s="1"/>
  <c r="E404" i="148"/>
  <c r="E26" i="9" s="1"/>
  <c r="D404" i="148"/>
  <c r="D26" i="9" s="1"/>
  <c r="E403" i="148"/>
  <c r="D403" i="148"/>
  <c r="AB402" i="148"/>
  <c r="D399" i="148"/>
  <c r="E398" i="148"/>
  <c r="E12" i="11" s="1"/>
  <c r="D398" i="148"/>
  <c r="D12" i="11" s="1"/>
  <c r="E397" i="148"/>
  <c r="D397" i="148"/>
  <c r="D11" i="11" s="1"/>
  <c r="AB395" i="148"/>
  <c r="E393" i="148"/>
  <c r="E30" i="7" s="1"/>
  <c r="D393" i="148"/>
  <c r="D30" i="7" s="1"/>
  <c r="AB392" i="148"/>
  <c r="E390" i="148"/>
  <c r="E23" i="7" s="1"/>
  <c r="E28" i="7" s="1"/>
  <c r="D390" i="148"/>
  <c r="E389" i="148"/>
  <c r="D389" i="148"/>
  <c r="E388" i="148"/>
  <c r="E29" i="7" s="1"/>
  <c r="D388" i="148"/>
  <c r="D29" i="7" s="1"/>
  <c r="E387" i="148"/>
  <c r="E9" i="7" s="1"/>
  <c r="E16" i="7" s="1"/>
  <c r="D387" i="148"/>
  <c r="D9" i="7" s="1"/>
  <c r="D16" i="7" s="1"/>
  <c r="AB386" i="148"/>
  <c r="E383" i="148"/>
  <c r="E14" i="134" s="1"/>
  <c r="D383" i="148"/>
  <c r="E382" i="148"/>
  <c r="E13" i="134" s="1"/>
  <c r="D382" i="148"/>
  <c r="E381" i="148"/>
  <c r="E12" i="134" s="1"/>
  <c r="D381" i="148"/>
  <c r="E380" i="148"/>
  <c r="E25" i="134" s="1"/>
  <c r="E27" i="134" s="1"/>
  <c r="G14" i="108" s="1"/>
  <c r="D380" i="148"/>
  <c r="D25" i="134" s="1"/>
  <c r="D27" i="134" s="1"/>
  <c r="F14" i="108" s="1"/>
  <c r="E379" i="148"/>
  <c r="E10" i="134" s="1"/>
  <c r="D379" i="148"/>
  <c r="D10" i="134" s="1"/>
  <c r="E378" i="148"/>
  <c r="E9" i="134" s="1"/>
  <c r="E15" i="134" s="1"/>
  <c r="G13" i="108" s="1"/>
  <c r="D378" i="148"/>
  <c r="D9" i="134" s="1"/>
  <c r="F373" i="148"/>
  <c r="E371" i="148"/>
  <c r="E38" i="1" s="1"/>
  <c r="D371" i="148"/>
  <c r="D38" i="1" s="1"/>
  <c r="E370" i="148"/>
  <c r="E37" i="1" s="1"/>
  <c r="D370" i="148"/>
  <c r="D37" i="1" s="1"/>
  <c r="E369" i="148"/>
  <c r="E36" i="1" s="1"/>
  <c r="D369" i="148"/>
  <c r="D36" i="1" s="1"/>
  <c r="E368" i="148"/>
  <c r="E35" i="1" s="1"/>
  <c r="D368" i="148"/>
  <c r="D35" i="1" s="1"/>
  <c r="E367" i="148"/>
  <c r="E34" i="1" s="1"/>
  <c r="D367" i="148"/>
  <c r="D34" i="1" s="1"/>
  <c r="E366" i="148"/>
  <c r="D366" i="148"/>
  <c r="D33" i="1" s="1"/>
  <c r="E360" i="148"/>
  <c r="E365" i="148" s="1"/>
  <c r="E30" i="1" s="1"/>
  <c r="D360" i="148"/>
  <c r="D365" i="148" s="1"/>
  <c r="D30" i="1" s="1"/>
  <c r="AB358" i="148"/>
  <c r="E355" i="148"/>
  <c r="E18" i="1" s="1"/>
  <c r="D355" i="148"/>
  <c r="D18" i="1" s="1"/>
  <c r="E354" i="148"/>
  <c r="E17" i="1" s="1"/>
  <c r="D354" i="148"/>
  <c r="D17" i="1" s="1"/>
  <c r="E353" i="148"/>
  <c r="E16" i="1" s="1"/>
  <c r="D353" i="148"/>
  <c r="D16" i="1" s="1"/>
  <c r="E352" i="148"/>
  <c r="E15" i="1" s="1"/>
  <c r="E22" i="1" s="1"/>
  <c r="G10" i="108" s="1"/>
  <c r="D352" i="148"/>
  <c r="D15" i="1" s="1"/>
  <c r="AB350" i="148"/>
  <c r="E348" i="148"/>
  <c r="D348" i="148"/>
  <c r="AB346" i="148"/>
  <c r="E345" i="148"/>
  <c r="D345" i="148"/>
  <c r="F342" i="148"/>
  <c r="E341" i="148"/>
  <c r="E11" i="118" s="1"/>
  <c r="D341" i="148"/>
  <c r="D11" i="118" s="1"/>
  <c r="E340" i="148"/>
  <c r="D340" i="148"/>
  <c r="AB339" i="148"/>
  <c r="F337" i="148"/>
  <c r="F55" i="148" s="1"/>
  <c r="E335" i="148"/>
  <c r="E33" i="29" s="1"/>
  <c r="D335" i="148"/>
  <c r="D33" i="29" s="1"/>
  <c r="E334" i="148"/>
  <c r="E32" i="29" s="1"/>
  <c r="D334" i="148"/>
  <c r="D32" i="29" s="1"/>
  <c r="E333" i="148"/>
  <c r="E31" i="29" s="1"/>
  <c r="D333" i="148"/>
  <c r="D31" i="29" s="1"/>
  <c r="E332" i="148"/>
  <c r="E30" i="29" s="1"/>
  <c r="D332" i="148"/>
  <c r="D30" i="29" s="1"/>
  <c r="E331" i="148"/>
  <c r="E29" i="29" s="1"/>
  <c r="D331" i="148"/>
  <c r="D29" i="29" s="1"/>
  <c r="E328" i="148"/>
  <c r="D328" i="148"/>
  <c r="D28" i="29" s="1"/>
  <c r="AB327" i="148"/>
  <c r="F325" i="148"/>
  <c r="E324" i="148"/>
  <c r="E17" i="29" s="1"/>
  <c r="D324" i="148"/>
  <c r="D17" i="29" s="1"/>
  <c r="E323" i="148"/>
  <c r="D323" i="148"/>
  <c r="E322" i="148"/>
  <c r="E23" i="29" s="1"/>
  <c r="D322" i="148"/>
  <c r="D23" i="29" s="1"/>
  <c r="E321" i="148"/>
  <c r="D321" i="148"/>
  <c r="E320" i="148"/>
  <c r="E18" i="29" s="1"/>
  <c r="D320" i="148"/>
  <c r="D18" i="29" s="1"/>
  <c r="E319" i="148"/>
  <c r="E15" i="29" s="1"/>
  <c r="D319" i="148"/>
  <c r="D15" i="29" s="1"/>
  <c r="E317" i="148"/>
  <c r="E19" i="29" s="1"/>
  <c r="D317" i="148"/>
  <c r="D19" i="29" s="1"/>
  <c r="E316" i="148"/>
  <c r="E22" i="29" s="1"/>
  <c r="D316" i="148"/>
  <c r="D22" i="29" s="1"/>
  <c r="E315" i="148"/>
  <c r="E21" i="29" s="1"/>
  <c r="D315" i="148"/>
  <c r="D21" i="29" s="1"/>
  <c r="AB314" i="148"/>
  <c r="F312" i="148"/>
  <c r="E311" i="148"/>
  <c r="D311" i="148"/>
  <c r="D53" i="148" s="1"/>
  <c r="E310" i="148"/>
  <c r="E312" i="148" s="1"/>
  <c r="D310" i="148"/>
  <c r="AB309" i="148"/>
  <c r="F307" i="148"/>
  <c r="F51" i="148" s="1"/>
  <c r="E306" i="148"/>
  <c r="E307" i="148" s="1"/>
  <c r="E51" i="148" s="1"/>
  <c r="D306" i="148"/>
  <c r="D307" i="148" s="1"/>
  <c r="D51" i="148" s="1"/>
  <c r="AB305" i="148"/>
  <c r="F302" i="148"/>
  <c r="E301" i="148"/>
  <c r="D301" i="148"/>
  <c r="H300" i="148"/>
  <c r="I300" i="148" s="1"/>
  <c r="H301" i="148" s="1"/>
  <c r="I301" i="148" s="1"/>
  <c r="H302" i="148" s="1"/>
  <c r="I302" i="148" s="1"/>
  <c r="D300" i="148"/>
  <c r="D294" i="148" s="1"/>
  <c r="I299" i="148"/>
  <c r="J299" i="148" s="1"/>
  <c r="K299" i="148" s="1"/>
  <c r="E296" i="148"/>
  <c r="G32" i="85" s="1"/>
  <c r="G33" i="85" s="1"/>
  <c r="G28" i="107" s="1"/>
  <c r="D296" i="148"/>
  <c r="E294" i="148"/>
  <c r="E291" i="148"/>
  <c r="D291" i="148"/>
  <c r="AB287" i="148"/>
  <c r="F285" i="148"/>
  <c r="F46" i="148" s="1"/>
  <c r="E284" i="148"/>
  <c r="E14" i="92" s="1"/>
  <c r="D284" i="148"/>
  <c r="D14" i="92" s="1"/>
  <c r="D283" i="148"/>
  <c r="E282" i="148"/>
  <c r="E13" i="92" s="1"/>
  <c r="D282" i="148"/>
  <c r="AB281" i="148"/>
  <c r="F279" i="148"/>
  <c r="E278" i="148"/>
  <c r="E24" i="92" s="1"/>
  <c r="D278" i="148"/>
  <c r="D24" i="92" s="1"/>
  <c r="E277" i="148"/>
  <c r="E23" i="92" s="1"/>
  <c r="D277" i="148"/>
  <c r="AB276" i="148"/>
  <c r="F274" i="148"/>
  <c r="E273" i="148"/>
  <c r="E274" i="148" s="1"/>
  <c r="D273" i="148"/>
  <c r="D274" i="148" s="1"/>
  <c r="D43" i="148" s="1"/>
  <c r="F22" i="107" s="1"/>
  <c r="F269" i="148"/>
  <c r="F42" i="148" s="1"/>
  <c r="E268" i="148"/>
  <c r="D268" i="148"/>
  <c r="B268" i="148"/>
  <c r="E267" i="148"/>
  <c r="D267" i="148"/>
  <c r="E266" i="148"/>
  <c r="D266" i="148"/>
  <c r="E265" i="148"/>
  <c r="D265" i="148"/>
  <c r="E264" i="148"/>
  <c r="D264" i="148"/>
  <c r="E263" i="148"/>
  <c r="E261" i="148"/>
  <c r="D261" i="148"/>
  <c r="E260" i="148"/>
  <c r="D260" i="148"/>
  <c r="AB257" i="148"/>
  <c r="E251" i="148"/>
  <c r="E35" i="62" s="1"/>
  <c r="G17" i="107" s="1"/>
  <c r="D251" i="148"/>
  <c r="D35" i="62" s="1"/>
  <c r="F17" i="107" s="1"/>
  <c r="F249" i="148"/>
  <c r="F255" i="148" s="1"/>
  <c r="E245" i="148"/>
  <c r="E26" i="62" s="1"/>
  <c r="D245" i="148"/>
  <c r="D26" i="62" s="1"/>
  <c r="AB243" i="148"/>
  <c r="F241" i="148"/>
  <c r="F25" i="148" s="1"/>
  <c r="E240" i="148"/>
  <c r="D240" i="148"/>
  <c r="E239" i="148"/>
  <c r="E22" i="119" s="1"/>
  <c r="D239" i="148"/>
  <c r="D22" i="119" s="1"/>
  <c r="E238" i="148"/>
  <c r="E21" i="119" s="1"/>
  <c r="D238" i="148"/>
  <c r="D21" i="119" s="1"/>
  <c r="E237" i="148"/>
  <c r="E20" i="119" s="1"/>
  <c r="D237" i="148"/>
  <c r="D20" i="119" s="1"/>
  <c r="AB236" i="148"/>
  <c r="F234" i="148"/>
  <c r="F24" i="148" s="1"/>
  <c r="E233" i="148"/>
  <c r="E16" i="119" s="1"/>
  <c r="D233" i="148"/>
  <c r="D16" i="119" s="1"/>
  <c r="E232" i="148"/>
  <c r="E15" i="119" s="1"/>
  <c r="D232" i="148"/>
  <c r="D15" i="119" s="1"/>
  <c r="E231" i="148"/>
  <c r="E14" i="119" s="1"/>
  <c r="D231" i="148"/>
  <c r="D14" i="119" s="1"/>
  <c r="E230" i="148"/>
  <c r="E13" i="119" s="1"/>
  <c r="D230" i="148"/>
  <c r="D13" i="119" s="1"/>
  <c r="E229" i="148"/>
  <c r="E12" i="119" s="1"/>
  <c r="D229" i="148"/>
  <c r="D12" i="119" s="1"/>
  <c r="E228" i="148"/>
  <c r="E11" i="119" s="1"/>
  <c r="D228" i="148"/>
  <c r="D11" i="119" s="1"/>
  <c r="E227" i="148"/>
  <c r="E10" i="119" s="1"/>
  <c r="D227" i="148"/>
  <c r="D10" i="119" s="1"/>
  <c r="AB225" i="148"/>
  <c r="F223" i="148"/>
  <c r="F23" i="148" s="1"/>
  <c r="D222" i="148"/>
  <c r="E221" i="148"/>
  <c r="D221" i="148"/>
  <c r="E220" i="148"/>
  <c r="D220" i="148"/>
  <c r="D19" i="87" s="1"/>
  <c r="D23" i="87" s="1"/>
  <c r="AB218" i="148"/>
  <c r="F216" i="148"/>
  <c r="F22" i="148" s="1"/>
  <c r="E215" i="148"/>
  <c r="E33" i="89" s="1"/>
  <c r="D215" i="148"/>
  <c r="D33" i="89" s="1"/>
  <c r="E214" i="148"/>
  <c r="D214" i="148"/>
  <c r="E213" i="148"/>
  <c r="D213" i="148"/>
  <c r="D32" i="89" s="1"/>
  <c r="AB211" i="148"/>
  <c r="F208" i="148"/>
  <c r="F21" i="148" s="1"/>
  <c r="E207" i="148"/>
  <c r="E21" i="89" s="1"/>
  <c r="D207" i="148"/>
  <c r="D21" i="89" s="1"/>
  <c r="E206" i="148"/>
  <c r="D206" i="148"/>
  <c r="AB203" i="148"/>
  <c r="F201" i="148"/>
  <c r="F19" i="148" s="1"/>
  <c r="E200" i="148"/>
  <c r="E18" i="26" s="1"/>
  <c r="D200" i="148"/>
  <c r="D18" i="26" s="1"/>
  <c r="E199" i="148"/>
  <c r="E17" i="26" s="1"/>
  <c r="D199" i="148"/>
  <c r="D17" i="26" s="1"/>
  <c r="D198" i="148"/>
  <c r="E197" i="148"/>
  <c r="E13" i="26" s="1"/>
  <c r="D197" i="148"/>
  <c r="D13" i="26" s="1"/>
  <c r="E196" i="148"/>
  <c r="E12" i="26" s="1"/>
  <c r="D196" i="148"/>
  <c r="D12" i="26" s="1"/>
  <c r="E195" i="148"/>
  <c r="E11" i="26" s="1"/>
  <c r="D195" i="148"/>
  <c r="D11" i="26" s="1"/>
  <c r="E194" i="148"/>
  <c r="E10" i="26" s="1"/>
  <c r="D194" i="148"/>
  <c r="D10" i="26" s="1"/>
  <c r="AB193" i="148"/>
  <c r="E189" i="148"/>
  <c r="E23" i="23" s="1"/>
  <c r="D189" i="148"/>
  <c r="D23" i="23" s="1"/>
  <c r="E188" i="148"/>
  <c r="E12" i="23" s="1"/>
  <c r="D188" i="148"/>
  <c r="D12" i="23" s="1"/>
  <c r="E187" i="148"/>
  <c r="E21" i="23" s="1"/>
  <c r="D187" i="148"/>
  <c r="D21" i="23" s="1"/>
  <c r="E186" i="148"/>
  <c r="E22" i="23" s="1"/>
  <c r="D186" i="148"/>
  <c r="D22" i="23" s="1"/>
  <c r="F184" i="148"/>
  <c r="E183" i="148"/>
  <c r="D183" i="148"/>
  <c r="E182" i="148"/>
  <c r="E25" i="23" s="1"/>
  <c r="D182" i="148"/>
  <c r="F180" i="148"/>
  <c r="E179" i="148"/>
  <c r="D179" i="148"/>
  <c r="E178" i="148"/>
  <c r="E26" i="23" s="1"/>
  <c r="D178" i="148"/>
  <c r="D26" i="23" s="1"/>
  <c r="F176" i="148"/>
  <c r="F191" i="148" s="1"/>
  <c r="F16" i="148" s="1"/>
  <c r="E175" i="148"/>
  <c r="D175" i="148"/>
  <c r="E174" i="148"/>
  <c r="D174" i="148"/>
  <c r="D24" i="23" s="1"/>
  <c r="A173" i="148"/>
  <c r="AB173" i="148" s="1"/>
  <c r="F171" i="148"/>
  <c r="F14" i="148" s="1"/>
  <c r="E170" i="148"/>
  <c r="E171" i="148" s="1"/>
  <c r="E14" i="148" s="1"/>
  <c r="K14" i="148" s="1"/>
  <c r="D170" i="148"/>
  <c r="D171" i="148" s="1"/>
  <c r="D14" i="148" s="1"/>
  <c r="F167" i="148"/>
  <c r="E166" i="148"/>
  <c r="D166" i="148"/>
  <c r="F163" i="148"/>
  <c r="E162" i="148"/>
  <c r="D162" i="148"/>
  <c r="F161" i="148"/>
  <c r="E160" i="148"/>
  <c r="D160" i="148"/>
  <c r="E158" i="148"/>
  <c r="D158" i="148"/>
  <c r="E155" i="148"/>
  <c r="D155" i="148"/>
  <c r="E152" i="148"/>
  <c r="D152" i="148"/>
  <c r="E149" i="148"/>
  <c r="D149" i="148"/>
  <c r="E146" i="148"/>
  <c r="D146" i="148"/>
  <c r="AB142" i="148"/>
  <c r="BJ141" i="148"/>
  <c r="BL141" i="148" s="1"/>
  <c r="BI141" i="148"/>
  <c r="BK141" i="148" s="1"/>
  <c r="F141" i="148"/>
  <c r="E141" i="148"/>
  <c r="D141" i="148"/>
  <c r="B138" i="148"/>
  <c r="E137" i="148"/>
  <c r="B137" i="148"/>
  <c r="E136" i="148"/>
  <c r="C136" i="148"/>
  <c r="B136" i="148"/>
  <c r="E135" i="148"/>
  <c r="C135" i="148"/>
  <c r="B133" i="148"/>
  <c r="E131" i="148"/>
  <c r="C131" i="148"/>
  <c r="B131" i="148"/>
  <c r="E130" i="148"/>
  <c r="C130" i="148"/>
  <c r="E129" i="148"/>
  <c r="C129" i="148"/>
  <c r="B129" i="148"/>
  <c r="B128" i="148"/>
  <c r="B126" i="148"/>
  <c r="B125" i="148"/>
  <c r="B124" i="148"/>
  <c r="E119" i="148"/>
  <c r="D119" i="148"/>
  <c r="F108" i="148"/>
  <c r="C106" i="148"/>
  <c r="C105" i="148"/>
  <c r="E100" i="148"/>
  <c r="C100" i="148"/>
  <c r="D98" i="148"/>
  <c r="L97" i="148"/>
  <c r="C90" i="148"/>
  <c r="E89" i="148"/>
  <c r="D89" i="148"/>
  <c r="C88" i="148"/>
  <c r="C87" i="148"/>
  <c r="C86" i="148"/>
  <c r="C83" i="148"/>
  <c r="C82" i="148"/>
  <c r="J80" i="148"/>
  <c r="I79" i="148"/>
  <c r="B76" i="148"/>
  <c r="F56" i="148"/>
  <c r="C56" i="148"/>
  <c r="C55" i="148"/>
  <c r="F54" i="148"/>
  <c r="C54" i="148"/>
  <c r="F53" i="148"/>
  <c r="E53" i="148"/>
  <c r="K53" i="148" s="1"/>
  <c r="C53" i="148"/>
  <c r="F52" i="148"/>
  <c r="E52" i="148"/>
  <c r="K52" i="148" s="1"/>
  <c r="C51" i="148"/>
  <c r="F50" i="148"/>
  <c r="F57" i="148" s="1"/>
  <c r="C50" i="148"/>
  <c r="M49" i="148"/>
  <c r="K49" i="148"/>
  <c r="M48" i="148"/>
  <c r="K48" i="148"/>
  <c r="C46" i="148"/>
  <c r="K45" i="148"/>
  <c r="D45" i="148"/>
  <c r="F44" i="148"/>
  <c r="C44" i="148"/>
  <c r="F43" i="148"/>
  <c r="F47" i="148" s="1"/>
  <c r="E43" i="148"/>
  <c r="C43" i="148"/>
  <c r="C42" i="148"/>
  <c r="M41" i="148"/>
  <c r="K41" i="148"/>
  <c r="M40" i="148"/>
  <c r="K40" i="148"/>
  <c r="M39" i="148"/>
  <c r="K39" i="148"/>
  <c r="F38" i="148"/>
  <c r="C35" i="148"/>
  <c r="E34" i="148"/>
  <c r="K34" i="148" s="1"/>
  <c r="D34" i="148"/>
  <c r="M33" i="148"/>
  <c r="K33" i="148"/>
  <c r="M32" i="148"/>
  <c r="K32" i="148"/>
  <c r="M31" i="148"/>
  <c r="K31" i="148"/>
  <c r="F29" i="148"/>
  <c r="E28" i="148"/>
  <c r="D28" i="148"/>
  <c r="D29" i="119" s="1"/>
  <c r="F56" i="107" s="1"/>
  <c r="J27" i="148"/>
  <c r="C25" i="148"/>
  <c r="C24" i="148"/>
  <c r="C23" i="148"/>
  <c r="C22" i="148"/>
  <c r="C21" i="148"/>
  <c r="M20" i="148"/>
  <c r="K20" i="148"/>
  <c r="J20" i="148"/>
  <c r="C19" i="148"/>
  <c r="M18" i="148"/>
  <c r="K18" i="148"/>
  <c r="J18" i="148"/>
  <c r="C16" i="148"/>
  <c r="K15" i="148"/>
  <c r="D15" i="148"/>
  <c r="M15" i="148" s="1"/>
  <c r="F13" i="148"/>
  <c r="F12" i="148"/>
  <c r="C12" i="148"/>
  <c r="M11" i="148"/>
  <c r="K11" i="148"/>
  <c r="J11" i="148"/>
  <c r="E10" i="148"/>
  <c r="K10" i="148" s="1"/>
  <c r="D10" i="148"/>
  <c r="E9" i="148"/>
  <c r="D9" i="148"/>
  <c r="E8" i="148"/>
  <c r="K8" i="148" s="1"/>
  <c r="D8" i="148"/>
  <c r="E7" i="148"/>
  <c r="D7" i="148"/>
  <c r="E6" i="148"/>
  <c r="K6" i="148" s="1"/>
  <c r="D6" i="148"/>
  <c r="D13" i="9" l="1"/>
  <c r="E61" i="150"/>
  <c r="E127" i="150"/>
  <c r="E231" i="150"/>
  <c r="E13" i="9"/>
  <c r="C449" i="149"/>
  <c r="D449" i="149" s="1"/>
  <c r="D22" i="26"/>
  <c r="C259" i="149"/>
  <c r="T6" i="152"/>
  <c r="T25" i="152" s="1"/>
  <c r="C9" i="110"/>
  <c r="D30" i="152"/>
  <c r="C24" i="110" s="1"/>
  <c r="C17" i="110"/>
  <c r="E30" i="152"/>
  <c r="E24" i="110" s="1"/>
  <c r="E17" i="110"/>
  <c r="M34" i="148"/>
  <c r="D46" i="152"/>
  <c r="C43" i="110" s="1"/>
  <c r="C16" i="110"/>
  <c r="D40" i="11"/>
  <c r="D28" i="152"/>
  <c r="C25" i="110" s="1"/>
  <c r="C14" i="110"/>
  <c r="E28" i="152"/>
  <c r="E25" i="110" s="1"/>
  <c r="E14" i="110"/>
  <c r="E37" i="110" s="1"/>
  <c r="D61" i="152"/>
  <c r="E63" i="110"/>
  <c r="E66" i="110" s="1"/>
  <c r="E48" i="110"/>
  <c r="R11" i="152"/>
  <c r="E46" i="152"/>
  <c r="E43" i="110" s="1"/>
  <c r="E16" i="110"/>
  <c r="D27" i="11"/>
  <c r="D37" i="11" s="1"/>
  <c r="F416" i="148"/>
  <c r="D18" i="9"/>
  <c r="D9" i="9"/>
  <c r="G382" i="148"/>
  <c r="D13" i="134"/>
  <c r="E9" i="9"/>
  <c r="E396" i="148"/>
  <c r="E10" i="11" s="1"/>
  <c r="E11" i="11"/>
  <c r="F426" i="148"/>
  <c r="D27" i="9"/>
  <c r="E37" i="7"/>
  <c r="E39" i="7" s="1"/>
  <c r="G15" i="108" s="1"/>
  <c r="E24" i="29"/>
  <c r="E26" i="29" s="1"/>
  <c r="F390" i="148"/>
  <c r="D23" i="7"/>
  <c r="D28" i="7" s="1"/>
  <c r="D312" i="148"/>
  <c r="D36" i="29" s="1"/>
  <c r="F30" i="107" s="1"/>
  <c r="D347" i="148"/>
  <c r="D10" i="1"/>
  <c r="D41" i="1"/>
  <c r="F8" i="108" s="1"/>
  <c r="D40" i="154"/>
  <c r="D41" i="11"/>
  <c r="D436" i="148"/>
  <c r="D27" i="5" s="1"/>
  <c r="D37" i="7"/>
  <c r="D15" i="26"/>
  <c r="E16" i="92"/>
  <c r="G24" i="107" s="1"/>
  <c r="E347" i="148"/>
  <c r="E10" i="1"/>
  <c r="G383" i="148"/>
  <c r="D14" i="134"/>
  <c r="D105" i="148"/>
  <c r="D106" i="148" s="1"/>
  <c r="F418" i="148"/>
  <c r="D20" i="9"/>
  <c r="F424" i="148"/>
  <c r="D24" i="9"/>
  <c r="E27" i="11"/>
  <c r="E37" i="11" s="1"/>
  <c r="G381" i="148"/>
  <c r="D12" i="134"/>
  <c r="D15" i="134" s="1"/>
  <c r="F13" i="108" s="1"/>
  <c r="E105" i="148"/>
  <c r="L99" i="148" s="1"/>
  <c r="D18" i="93"/>
  <c r="F19" i="108" s="1"/>
  <c r="D22" i="1"/>
  <c r="F10" i="108" s="1"/>
  <c r="J492" i="148"/>
  <c r="E33" i="1"/>
  <c r="E41" i="1" s="1"/>
  <c r="G8" i="108" s="1"/>
  <c r="F406" i="148"/>
  <c r="E9" i="93"/>
  <c r="E18" i="93" s="1"/>
  <c r="G19" i="108" s="1"/>
  <c r="R47" i="152"/>
  <c r="J25" i="155"/>
  <c r="D16" i="22" s="1"/>
  <c r="D26" i="22" s="1"/>
  <c r="F41" i="107" s="1"/>
  <c r="C60" i="154"/>
  <c r="E15" i="26"/>
  <c r="G26" i="153"/>
  <c r="D205" i="148"/>
  <c r="D23" i="119" s="1"/>
  <c r="D24" i="119"/>
  <c r="E251" i="150"/>
  <c r="C10" i="151"/>
  <c r="E205" i="148"/>
  <c r="E23" i="119" s="1"/>
  <c r="E24" i="119"/>
  <c r="R15" i="152"/>
  <c r="T43" i="152" s="1"/>
  <c r="E243" i="150"/>
  <c r="D465" i="149"/>
  <c r="E112" i="150"/>
  <c r="E40" i="152"/>
  <c r="R12" i="152"/>
  <c r="R30" i="152"/>
  <c r="R44" i="152"/>
  <c r="R56" i="152"/>
  <c r="D184" i="148"/>
  <c r="D25" i="23"/>
  <c r="E22" i="26"/>
  <c r="E216" i="148"/>
  <c r="E22" i="148" s="1"/>
  <c r="K22" i="148" s="1"/>
  <c r="E32" i="89"/>
  <c r="E35" i="89" s="1"/>
  <c r="G52" i="107" s="1"/>
  <c r="R20" i="152"/>
  <c r="T30" i="152" s="1"/>
  <c r="R52" i="152"/>
  <c r="F404" i="148"/>
  <c r="D18" i="119"/>
  <c r="F54" i="107" s="1"/>
  <c r="K43" i="148"/>
  <c r="G22" i="107"/>
  <c r="E176" i="148"/>
  <c r="E24" i="23"/>
  <c r="E18" i="119"/>
  <c r="G54" i="107" s="1"/>
  <c r="D28" i="23"/>
  <c r="D99" i="152"/>
  <c r="D56" i="152" s="1"/>
  <c r="C51" i="110" s="1"/>
  <c r="M10" i="153"/>
  <c r="D16" i="124" s="1"/>
  <c r="E28" i="23"/>
  <c r="R53" i="152"/>
  <c r="R57" i="152"/>
  <c r="E99" i="152"/>
  <c r="E56" i="152" s="1"/>
  <c r="N10" i="153"/>
  <c r="D17" i="124" s="1"/>
  <c r="D25" i="119"/>
  <c r="F55" i="107" s="1"/>
  <c r="F414" i="148"/>
  <c r="E339" i="150"/>
  <c r="E29" i="148"/>
  <c r="E29" i="119"/>
  <c r="G56" i="107" s="1"/>
  <c r="E223" i="148"/>
  <c r="E19" i="87"/>
  <c r="E23" i="87" s="1"/>
  <c r="D396" i="148"/>
  <c r="D10" i="11" s="1"/>
  <c r="D17" i="11" s="1"/>
  <c r="F16" i="108" s="1"/>
  <c r="F409" i="148"/>
  <c r="E209" i="150"/>
  <c r="E391" i="148"/>
  <c r="E87" i="148" s="1"/>
  <c r="R23" i="152"/>
  <c r="T28" i="152" s="1"/>
  <c r="R48" i="152"/>
  <c r="D110" i="152"/>
  <c r="B121" i="152" s="1"/>
  <c r="G10" i="153"/>
  <c r="K19" i="153"/>
  <c r="D35" i="89"/>
  <c r="F52" i="107" s="1"/>
  <c r="E508" i="148"/>
  <c r="E36" i="29"/>
  <c r="G30" i="107" s="1"/>
  <c r="J51" i="148"/>
  <c r="D39" i="29"/>
  <c r="F29" i="107" s="1"/>
  <c r="D680" i="149"/>
  <c r="D216" i="148"/>
  <c r="D22" i="148" s="1"/>
  <c r="G20" i="107"/>
  <c r="F408" i="148"/>
  <c r="D564" i="149"/>
  <c r="R24" i="152"/>
  <c r="R28" i="152"/>
  <c r="R32" i="152"/>
  <c r="D800" i="149"/>
  <c r="R39" i="152"/>
  <c r="F19" i="153"/>
  <c r="E201" i="148"/>
  <c r="E500" i="148" s="1"/>
  <c r="H26" i="153"/>
  <c r="D52" i="148"/>
  <c r="M52" i="148" s="1"/>
  <c r="D34" i="29"/>
  <c r="D372" i="148"/>
  <c r="D373" i="148" s="1"/>
  <c r="R29" i="152"/>
  <c r="D285" i="148"/>
  <c r="D46" i="148" s="1"/>
  <c r="D13" i="92"/>
  <c r="D16" i="92" s="1"/>
  <c r="F24" i="107" s="1"/>
  <c r="F21" i="107"/>
  <c r="E337" i="148"/>
  <c r="E55" i="148" s="1"/>
  <c r="K55" i="148" s="1"/>
  <c r="E28" i="29"/>
  <c r="E34" i="29" s="1"/>
  <c r="E321" i="150"/>
  <c r="R26" i="152"/>
  <c r="R34" i="152"/>
  <c r="R40" i="152"/>
  <c r="R54" i="152"/>
  <c r="F10" i="153"/>
  <c r="F13" i="153" s="1"/>
  <c r="E10" i="153"/>
  <c r="E52" i="150"/>
  <c r="M45" i="148"/>
  <c r="D29" i="92"/>
  <c r="F23" i="107" s="1"/>
  <c r="G21" i="107"/>
  <c r="D342" i="148"/>
  <c r="D56" i="148" s="1"/>
  <c r="D10" i="118"/>
  <c r="D13" i="118" s="1"/>
  <c r="F32" i="107" s="1"/>
  <c r="D475" i="149"/>
  <c r="F28" i="151"/>
  <c r="G296" i="148"/>
  <c r="F32" i="85"/>
  <c r="F33" i="85" s="1"/>
  <c r="F28" i="107" s="1"/>
  <c r="D60" i="154"/>
  <c r="D223" i="148"/>
  <c r="D279" i="148"/>
  <c r="D44" i="148" s="1"/>
  <c r="D23" i="92"/>
  <c r="D27" i="92" s="1"/>
  <c r="F25" i="107" s="1"/>
  <c r="E342" i="148"/>
  <c r="E56" i="148" s="1"/>
  <c r="K56" i="148" s="1"/>
  <c r="E10" i="118"/>
  <c r="E13" i="118" s="1"/>
  <c r="G32" i="107" s="1"/>
  <c r="G378" i="148"/>
  <c r="D719" i="149"/>
  <c r="D734" i="149"/>
  <c r="D1228" i="149"/>
  <c r="R17" i="152"/>
  <c r="P12" i="153"/>
  <c r="L26" i="153"/>
  <c r="J6" i="148"/>
  <c r="E27" i="92"/>
  <c r="G25" i="107" s="1"/>
  <c r="E384" i="148"/>
  <c r="E86" i="148" s="1"/>
  <c r="E499" i="148" s="1"/>
  <c r="F413" i="148"/>
  <c r="F419" i="148"/>
  <c r="F425" i="148"/>
  <c r="D155" i="149"/>
  <c r="E1228" i="149"/>
  <c r="C407" i="149" s="1"/>
  <c r="K1433" i="149"/>
  <c r="R7" i="152"/>
  <c r="R27" i="152"/>
  <c r="J19" i="153"/>
  <c r="R49" i="152"/>
  <c r="H10" i="153"/>
  <c r="H13" i="153" s="1"/>
  <c r="D740" i="149"/>
  <c r="D269" i="148"/>
  <c r="D42" i="148" s="1"/>
  <c r="F20" i="107"/>
  <c r="K51" i="148"/>
  <c r="E39" i="29"/>
  <c r="G29" i="107" s="1"/>
  <c r="D24" i="29"/>
  <c r="D26" i="29" s="1"/>
  <c r="C446" i="149"/>
  <c r="D446" i="149" s="1"/>
  <c r="C657" i="149"/>
  <c r="L1433" i="149"/>
  <c r="R41" i="152"/>
  <c r="I10" i="153"/>
  <c r="I13" i="153" s="1"/>
  <c r="J10" i="153"/>
  <c r="D13" i="124" s="1"/>
  <c r="M53" i="148"/>
  <c r="F427" i="148"/>
  <c r="C789" i="149"/>
  <c r="D76" i="152"/>
  <c r="K28" i="148"/>
  <c r="C680" i="149"/>
  <c r="E349" i="150"/>
  <c r="C8" i="151"/>
  <c r="R51" i="152"/>
  <c r="P7" i="153"/>
  <c r="O26" i="153"/>
  <c r="P17" i="153"/>
  <c r="R17" i="153" s="1"/>
  <c r="M19" i="153"/>
  <c r="E180" i="148"/>
  <c r="D241" i="148"/>
  <c r="D25" i="148" s="1"/>
  <c r="D72" i="149"/>
  <c r="E42" i="150"/>
  <c r="E163" i="150"/>
  <c r="E155" i="150"/>
  <c r="R43" i="152"/>
  <c r="D10" i="153"/>
  <c r="D13" i="153" s="1"/>
  <c r="P8" i="153"/>
  <c r="S8" i="153" s="1"/>
  <c r="N19" i="153"/>
  <c r="E8" i="154"/>
  <c r="E11" i="154" s="1"/>
  <c r="D21" i="154"/>
  <c r="M8" i="148"/>
  <c r="G89" i="148"/>
  <c r="D180" i="148"/>
  <c r="F411" i="148"/>
  <c r="F417" i="148"/>
  <c r="F423" i="148"/>
  <c r="C756" i="149"/>
  <c r="E32" i="150"/>
  <c r="E38" i="150" s="1"/>
  <c r="E268" i="150"/>
  <c r="D40" i="152"/>
  <c r="R13" i="152"/>
  <c r="R18" i="152"/>
  <c r="R35" i="152"/>
  <c r="E26" i="153"/>
  <c r="P9" i="153"/>
  <c r="E19" i="153"/>
  <c r="C19" i="153"/>
  <c r="O19" i="153"/>
  <c r="F26" i="153"/>
  <c r="E21" i="154"/>
  <c r="D307" i="149"/>
  <c r="V58" i="152"/>
  <c r="L164" i="157"/>
  <c r="M6" i="148"/>
  <c r="J33" i="151"/>
  <c r="P16" i="153"/>
  <c r="H166" i="157"/>
  <c r="E279" i="148"/>
  <c r="E44" i="148" s="1"/>
  <c r="K44" i="148" s="1"/>
  <c r="D391" i="148"/>
  <c r="D87" i="148" s="1"/>
  <c r="C155" i="149"/>
  <c r="D19" i="153"/>
  <c r="D22" i="153" s="1"/>
  <c r="D125" i="149"/>
  <c r="D843" i="149"/>
  <c r="D308" i="149" s="1"/>
  <c r="G1433" i="149"/>
  <c r="D1433" i="149" s="1"/>
  <c r="E285" i="148"/>
  <c r="E46" i="148" s="1"/>
  <c r="K46" i="148" s="1"/>
  <c r="F412" i="148"/>
  <c r="D48" i="149"/>
  <c r="C329" i="149"/>
  <c r="D394" i="149"/>
  <c r="C436" i="149"/>
  <c r="C438" i="149" s="1"/>
  <c r="D438" i="149" s="1"/>
  <c r="C458" i="149"/>
  <c r="C460" i="149" s="1"/>
  <c r="D460" i="149" s="1"/>
  <c r="E137" i="150"/>
  <c r="E222" i="150"/>
  <c r="E257" i="150"/>
  <c r="D25" i="151"/>
  <c r="D27" i="151" s="1"/>
  <c r="D33" i="151" s="1"/>
  <c r="R10" i="152"/>
  <c r="R14" i="152"/>
  <c r="R21" i="152"/>
  <c r="R38" i="152"/>
  <c r="I19" i="153"/>
  <c r="I22" i="153" s="1"/>
  <c r="C109" i="149"/>
  <c r="J34" i="148"/>
  <c r="D400" i="148"/>
  <c r="D88" i="148" s="1"/>
  <c r="D492" i="148" s="1"/>
  <c r="P21" i="153"/>
  <c r="D384" i="148"/>
  <c r="D86" i="148" s="1"/>
  <c r="D499" i="148" s="1"/>
  <c r="D466" i="148"/>
  <c r="F466" i="148" s="1"/>
  <c r="F472" i="148" s="1"/>
  <c r="D472" i="148" s="1"/>
  <c r="D452" i="148" s="1"/>
  <c r="E76" i="152"/>
  <c r="D234" i="148"/>
  <c r="D24" i="148" s="1"/>
  <c r="F22" i="153"/>
  <c r="D16" i="154"/>
  <c r="E234" i="148"/>
  <c r="E24" i="148" s="1"/>
  <c r="K24" i="148" s="1"/>
  <c r="D89" i="149"/>
  <c r="C752" i="149"/>
  <c r="E184" i="148"/>
  <c r="D657" i="149"/>
  <c r="G1444" i="149"/>
  <c r="D1444" i="149" s="1"/>
  <c r="R25" i="152"/>
  <c r="R45" i="152"/>
  <c r="J26" i="153"/>
  <c r="L19" i="153"/>
  <c r="G30" i="156"/>
  <c r="I36" i="156" s="1"/>
  <c r="K10" i="153"/>
  <c r="D443" i="148"/>
  <c r="D259" i="149"/>
  <c r="L10" i="153"/>
  <c r="D15" i="124" s="1"/>
  <c r="E241" i="148"/>
  <c r="E25" i="148" s="1"/>
  <c r="K25" i="148" s="1"/>
  <c r="E372" i="148"/>
  <c r="E373" i="148" s="1"/>
  <c r="E83" i="148" s="1"/>
  <c r="D541" i="149"/>
  <c r="E65" i="150"/>
  <c r="E269" i="148"/>
  <c r="E42" i="148" s="1"/>
  <c r="K42" i="148" s="1"/>
  <c r="C564" i="149"/>
  <c r="F25" i="158"/>
  <c r="F32" i="158" s="1"/>
  <c r="G32" i="158" s="1"/>
  <c r="H32" i="158" s="1"/>
  <c r="D239" i="149"/>
  <c r="C25" i="151"/>
  <c r="C27" i="151" s="1"/>
  <c r="C33" i="151" s="1"/>
  <c r="D99" i="148"/>
  <c r="D176" i="148"/>
  <c r="D201" i="148"/>
  <c r="D337" i="148"/>
  <c r="D55" i="148" s="1"/>
  <c r="F389" i="148"/>
  <c r="F407" i="148"/>
  <c r="F399" i="149"/>
  <c r="O1423" i="149"/>
  <c r="L1471" i="149"/>
  <c r="D23" i="150"/>
  <c r="E23" i="150" s="1"/>
  <c r="E83" i="150"/>
  <c r="E116" i="150"/>
  <c r="E237" i="150"/>
  <c r="R19" i="152"/>
  <c r="R33" i="152"/>
  <c r="R42" i="152"/>
  <c r="T51" i="152" s="1"/>
  <c r="R50" i="152"/>
  <c r="T54" i="152" s="1"/>
  <c r="P11" i="153"/>
  <c r="K26" i="153"/>
  <c r="P20" i="153"/>
  <c r="R20" i="153" s="1"/>
  <c r="T20" i="153" s="1"/>
  <c r="V20" i="153" s="1"/>
  <c r="C39" i="154"/>
  <c r="J166" i="157"/>
  <c r="K37" i="157"/>
  <c r="L37" i="157" s="1"/>
  <c r="R14" i="157"/>
  <c r="R11" i="157"/>
  <c r="K20" i="157"/>
  <c r="L20" i="157" s="1"/>
  <c r="L165" i="157"/>
  <c r="K5" i="157"/>
  <c r="L5" i="157" s="1"/>
  <c r="R9" i="157"/>
  <c r="R166" i="157" s="1"/>
  <c r="K9" i="157"/>
  <c r="L9" i="157" s="1"/>
  <c r="K17" i="157"/>
  <c r="L17" i="157" s="1"/>
  <c r="R41" i="157"/>
  <c r="K41" i="157"/>
  <c r="L41" i="157" s="1"/>
  <c r="K56" i="157"/>
  <c r="L56" i="157" s="1"/>
  <c r="K23" i="157"/>
  <c r="L23" i="157" s="1"/>
  <c r="R158" i="157"/>
  <c r="R136" i="157"/>
  <c r="K136" i="157"/>
  <c r="L136" i="157" s="1"/>
  <c r="R43" i="157"/>
  <c r="K142" i="157"/>
  <c r="L142" i="157" s="1"/>
  <c r="K145" i="157"/>
  <c r="L145" i="157" s="1"/>
  <c r="K44" i="157"/>
  <c r="L44" i="157" s="1"/>
  <c r="K149" i="157"/>
  <c r="L149" i="157" s="1"/>
  <c r="K143" i="157"/>
  <c r="L143" i="157" s="1"/>
  <c r="R12" i="157"/>
  <c r="K15" i="157"/>
  <c r="L15" i="157" s="1"/>
  <c r="K18" i="157"/>
  <c r="L18" i="157" s="1"/>
  <c r="K21" i="157"/>
  <c r="L21" i="157" s="1"/>
  <c r="K24" i="157"/>
  <c r="L24" i="157" s="1"/>
  <c r="K163" i="157"/>
  <c r="L163" i="157" s="1"/>
  <c r="R156" i="157"/>
  <c r="D20" i="156"/>
  <c r="D22" i="156" s="1"/>
  <c r="F13" i="156"/>
  <c r="E32" i="156"/>
  <c r="E22" i="156"/>
  <c r="G13" i="156"/>
  <c r="H13" i="156"/>
  <c r="G17" i="156"/>
  <c r="K23" i="155"/>
  <c r="L23" i="155"/>
  <c r="C18" i="155"/>
  <c r="E18" i="155"/>
  <c r="N23" i="155"/>
  <c r="D18" i="155"/>
  <c r="D25" i="155" s="1"/>
  <c r="B15" i="155"/>
  <c r="D11" i="154"/>
  <c r="F21" i="124" s="1"/>
  <c r="E21" i="124" s="1"/>
  <c r="C34" i="154"/>
  <c r="F22" i="124" s="1"/>
  <c r="E22" i="124" s="1"/>
  <c r="E16" i="154"/>
  <c r="E19" i="154" s="1"/>
  <c r="C22" i="154"/>
  <c r="C44" i="154"/>
  <c r="J13" i="153"/>
  <c r="M13" i="153"/>
  <c r="F16" i="124" s="1"/>
  <c r="E16" i="124" s="1"/>
  <c r="P18" i="153"/>
  <c r="M26" i="153"/>
  <c r="G19" i="153"/>
  <c r="C26" i="153"/>
  <c r="C10" i="153"/>
  <c r="O10" i="153"/>
  <c r="D18" i="124" s="1"/>
  <c r="H19" i="153"/>
  <c r="D26" i="153"/>
  <c r="I26" i="153"/>
  <c r="N26" i="153"/>
  <c r="E25" i="152"/>
  <c r="D52" i="152"/>
  <c r="C48" i="110" s="1"/>
  <c r="C54" i="110" s="1"/>
  <c r="D25" i="152"/>
  <c r="B27" i="151"/>
  <c r="F20" i="151"/>
  <c r="F29" i="151"/>
  <c r="F21" i="151"/>
  <c r="B31" i="151"/>
  <c r="F31" i="151" s="1"/>
  <c r="B71" i="151"/>
  <c r="B72" i="151" s="1"/>
  <c r="F19" i="151"/>
  <c r="G19" i="151" s="1"/>
  <c r="E192" i="150"/>
  <c r="C381" i="149"/>
  <c r="D381" i="149"/>
  <c r="D383" i="149" s="1"/>
  <c r="D362" i="149"/>
  <c r="C365" i="149"/>
  <c r="D370" i="149" s="1"/>
  <c r="O1415" i="149"/>
  <c r="O1417" i="149" s="1"/>
  <c r="Q1421" i="149" s="1"/>
  <c r="D296" i="149"/>
  <c r="D645" i="149"/>
  <c r="C645" i="149"/>
  <c r="D279" i="149"/>
  <c r="D282" i="149" s="1"/>
  <c r="D42" i="149"/>
  <c r="C42" i="149"/>
  <c r="D1400" i="149"/>
  <c r="F283" i="149"/>
  <c r="L1444" i="149"/>
  <c r="F438" i="149"/>
  <c r="F466" i="149" s="1"/>
  <c r="F794" i="149"/>
  <c r="D1264" i="149"/>
  <c r="C145" i="149"/>
  <c r="D347" i="149"/>
  <c r="C347" i="149"/>
  <c r="C775" i="149"/>
  <c r="E1264" i="149"/>
  <c r="D441" i="149" s="1"/>
  <c r="G1410" i="149"/>
  <c r="C72" i="149"/>
  <c r="K1410" i="149"/>
  <c r="C163" i="149" s="1"/>
  <c r="D173" i="149"/>
  <c r="D329" i="149"/>
  <c r="D333" i="149" s="1"/>
  <c r="C641" i="149"/>
  <c r="D641" i="149"/>
  <c r="C139" i="149"/>
  <c r="C138" i="149" s="1"/>
  <c r="D135" i="149"/>
  <c r="C489" i="149"/>
  <c r="D487" i="149"/>
  <c r="D489" i="149" s="1"/>
  <c r="D253" i="149"/>
  <c r="C253" i="149"/>
  <c r="D393" i="149"/>
  <c r="D708" i="149"/>
  <c r="C394" i="149"/>
  <c r="F709" i="149"/>
  <c r="C245" i="149"/>
  <c r="D245" i="149"/>
  <c r="F1500" i="149"/>
  <c r="G1499" i="149"/>
  <c r="G1501" i="149" s="1"/>
  <c r="F371" i="149"/>
  <c r="C541" i="149"/>
  <c r="D219" i="149"/>
  <c r="C219" i="149"/>
  <c r="F565" i="149"/>
  <c r="D1142" i="149"/>
  <c r="K1413" i="149"/>
  <c r="D186" i="149" s="1"/>
  <c r="G1525" i="149"/>
  <c r="G1533" i="149" s="1"/>
  <c r="C672" i="149"/>
  <c r="E1400" i="149"/>
  <c r="C408" i="149" s="1"/>
  <c r="D109" i="149"/>
  <c r="D112" i="149" s="1"/>
  <c r="D200" i="149"/>
  <c r="D183" i="149"/>
  <c r="C734" i="149"/>
  <c r="F1471" i="149"/>
  <c r="G1485" i="149"/>
  <c r="D26" i="149"/>
  <c r="L1499" i="149"/>
  <c r="M1499" i="149" s="1"/>
  <c r="M1485" i="149"/>
  <c r="C48" i="149"/>
  <c r="H1422" i="149"/>
  <c r="C292" i="149" s="1"/>
  <c r="D672" i="149"/>
  <c r="C586" i="149"/>
  <c r="D629" i="149" s="1"/>
  <c r="M1533" i="149"/>
  <c r="K1436" i="149"/>
  <c r="K1444" i="149" s="1"/>
  <c r="D159" i="149"/>
  <c r="D160" i="149" s="1"/>
  <c r="C470" i="149"/>
  <c r="C708" i="149"/>
  <c r="C89" i="149"/>
  <c r="C569" i="149"/>
  <c r="C200" i="149"/>
  <c r="C239" i="149"/>
  <c r="C279" i="149"/>
  <c r="C740" i="149"/>
  <c r="D187" i="149"/>
  <c r="G1413" i="149"/>
  <c r="C26" i="149"/>
  <c r="L1413" i="149"/>
  <c r="M14" i="148"/>
  <c r="J14" i="148"/>
  <c r="J43" i="148"/>
  <c r="F26" i="148"/>
  <c r="K9" i="148"/>
  <c r="M9" i="148"/>
  <c r="J9" i="148"/>
  <c r="F17" i="148"/>
  <c r="F58" i="148"/>
  <c r="E101" i="148"/>
  <c r="J45" i="148"/>
  <c r="D508" i="148"/>
  <c r="E167" i="148"/>
  <c r="E13" i="120" s="1"/>
  <c r="G46" i="107" s="1"/>
  <c r="E13" i="148"/>
  <c r="K13" i="148" s="1"/>
  <c r="E302" i="148"/>
  <c r="E50" i="148" s="1"/>
  <c r="J10" i="148"/>
  <c r="M10" i="148"/>
  <c r="E161" i="148"/>
  <c r="E163" i="148" s="1"/>
  <c r="D325" i="148"/>
  <c r="D54" i="148" s="1"/>
  <c r="M28" i="148"/>
  <c r="D29" i="148"/>
  <c r="D357" i="148"/>
  <c r="D82" i="148" s="1"/>
  <c r="E357" i="148"/>
  <c r="D302" i="148"/>
  <c r="D50" i="148" s="1"/>
  <c r="D161" i="148"/>
  <c r="D163" i="148" s="1"/>
  <c r="D433" i="148"/>
  <c r="F403" i="148"/>
  <c r="J7" i="148"/>
  <c r="E433" i="148"/>
  <c r="K7" i="148"/>
  <c r="E325" i="148"/>
  <c r="E54" i="148" s="1"/>
  <c r="K54" i="148" s="1"/>
  <c r="M7" i="148"/>
  <c r="J28" i="148"/>
  <c r="D13" i="148"/>
  <c r="D167" i="148"/>
  <c r="D13" i="120" s="1"/>
  <c r="F46" i="107" s="1"/>
  <c r="J8" i="148"/>
  <c r="J15" i="148"/>
  <c r="J53" i="148"/>
  <c r="E42" i="9"/>
  <c r="D42" i="9"/>
  <c r="D48" i="1"/>
  <c r="E6" i="108"/>
  <c r="K9" i="91"/>
  <c r="L9" i="91"/>
  <c r="M9" i="91"/>
  <c r="K10" i="91"/>
  <c r="L10" i="91"/>
  <c r="M10" i="91"/>
  <c r="G11" i="91"/>
  <c r="H11" i="91" s="1"/>
  <c r="K9" i="105"/>
  <c r="K8" i="91" s="1"/>
  <c r="K10" i="105"/>
  <c r="L10" i="105"/>
  <c r="M10" i="105"/>
  <c r="K11" i="105"/>
  <c r="L11" i="105"/>
  <c r="M11" i="105"/>
  <c r="G12" i="105"/>
  <c r="H12" i="105" s="1"/>
  <c r="F9" i="105"/>
  <c r="F8" i="91" s="1"/>
  <c r="K11" i="91"/>
  <c r="L11" i="91" s="1"/>
  <c r="M11" i="91" s="1"/>
  <c r="B16" i="62"/>
  <c r="B17" i="62"/>
  <c r="B22" i="62"/>
  <c r="B23" i="62"/>
  <c r="B28" i="62" s="1"/>
  <c r="B31" i="108"/>
  <c r="D7" i="106"/>
  <c r="G7" i="106"/>
  <c r="D42" i="11" l="1"/>
  <c r="D23" i="26"/>
  <c r="F50" i="107" s="1"/>
  <c r="F105" i="148"/>
  <c r="N13" i="153"/>
  <c r="M42" i="148"/>
  <c r="E106" i="148"/>
  <c r="H100" i="148" s="1"/>
  <c r="E32" i="152"/>
  <c r="E34" i="152" s="1"/>
  <c r="E37" i="152" s="1"/>
  <c r="E60" i="152" s="1"/>
  <c r="E62" i="152" s="1"/>
  <c r="E501" i="148"/>
  <c r="E30" i="9"/>
  <c r="G20" i="108" s="1"/>
  <c r="D789" i="149"/>
  <c r="D48" i="152"/>
  <c r="C41" i="110"/>
  <c r="C45" i="110" s="1"/>
  <c r="J27" i="153"/>
  <c r="K13" i="124" s="1"/>
  <c r="J42" i="148"/>
  <c r="D47" i="148"/>
  <c r="G87" i="148"/>
  <c r="D31" i="152"/>
  <c r="J55" i="148"/>
  <c r="E80" i="150"/>
  <c r="E25" i="119"/>
  <c r="G55" i="107" s="1"/>
  <c r="J56" i="148"/>
  <c r="M56" i="148"/>
  <c r="T40" i="152"/>
  <c r="T47" i="152" s="1"/>
  <c r="E58" i="152"/>
  <c r="E51" i="110"/>
  <c r="E54" i="110" s="1"/>
  <c r="I80" i="148"/>
  <c r="E48" i="152"/>
  <c r="E41" i="110"/>
  <c r="E45" i="110" s="1"/>
  <c r="E19" i="148"/>
  <c r="K19" i="148" s="1"/>
  <c r="E42" i="11"/>
  <c r="G17" i="108" s="1"/>
  <c r="D39" i="7"/>
  <c r="F15" i="108" s="1"/>
  <c r="E319" i="150"/>
  <c r="D31" i="5"/>
  <c r="F26" i="108" s="1"/>
  <c r="J491" i="148"/>
  <c r="M55" i="148"/>
  <c r="E400" i="148"/>
  <c r="E88" i="148" s="1"/>
  <c r="D58" i="152"/>
  <c r="D349" i="148"/>
  <c r="D81" i="148" s="1"/>
  <c r="D9" i="1"/>
  <c r="E17" i="11"/>
  <c r="G16" i="108" s="1"/>
  <c r="D9" i="124"/>
  <c r="F17" i="108"/>
  <c r="E349" i="148"/>
  <c r="E81" i="148" s="1"/>
  <c r="E503" i="148" s="1"/>
  <c r="E9" i="1"/>
  <c r="D30" i="9"/>
  <c r="F20" i="108" s="1"/>
  <c r="D60" i="148"/>
  <c r="E215" i="150"/>
  <c r="D100" i="148"/>
  <c r="J130" i="148" s="1"/>
  <c r="D438" i="148"/>
  <c r="D30" i="23"/>
  <c r="F45" i="107" s="1"/>
  <c r="E23" i="26"/>
  <c r="G50" i="107" s="1"/>
  <c r="G86" i="148"/>
  <c r="D756" i="149"/>
  <c r="D794" i="149" s="1"/>
  <c r="J22" i="148"/>
  <c r="E204" i="148"/>
  <c r="D28" i="153"/>
  <c r="D30" i="153" s="1"/>
  <c r="D27" i="153"/>
  <c r="D204" i="148"/>
  <c r="E30" i="23"/>
  <c r="G45" i="107" s="1"/>
  <c r="E26" i="119"/>
  <c r="S7" i="152"/>
  <c r="L166" i="157"/>
  <c r="O22" i="153"/>
  <c r="I18" i="124" s="1"/>
  <c r="G18" i="124"/>
  <c r="F28" i="153"/>
  <c r="F30" i="153" s="1"/>
  <c r="K22" i="153"/>
  <c r="I14" i="124" s="1"/>
  <c r="G14" i="124"/>
  <c r="E23" i="148"/>
  <c r="K23" i="148" s="1"/>
  <c r="E9" i="87"/>
  <c r="E11" i="87" s="1"/>
  <c r="G53" i="107" s="1"/>
  <c r="F13" i="124"/>
  <c r="E13" i="124" s="1"/>
  <c r="C22" i="153"/>
  <c r="I9" i="124" s="1"/>
  <c r="G9" i="124"/>
  <c r="G13" i="153"/>
  <c r="F11" i="124" s="1"/>
  <c r="D11" i="124"/>
  <c r="E134" i="150"/>
  <c r="E22" i="153"/>
  <c r="G10" i="124"/>
  <c r="K13" i="153"/>
  <c r="D14" i="124"/>
  <c r="J25" i="148"/>
  <c r="S28" i="152"/>
  <c r="C42" i="154"/>
  <c r="I22" i="124" s="1"/>
  <c r="G22" i="124"/>
  <c r="D19" i="154"/>
  <c r="I21" i="124" s="1"/>
  <c r="G21" i="124"/>
  <c r="E191" i="148"/>
  <c r="E16" i="148" s="1"/>
  <c r="K16" i="148" s="1"/>
  <c r="F12" i="124"/>
  <c r="L22" i="153"/>
  <c r="I15" i="124" s="1"/>
  <c r="G15" i="124"/>
  <c r="M22" i="153"/>
  <c r="I16" i="124" s="1"/>
  <c r="G16" i="124"/>
  <c r="D26" i="119"/>
  <c r="G22" i="153"/>
  <c r="G11" i="124"/>
  <c r="E12" i="148"/>
  <c r="K12" i="148" s="1"/>
  <c r="E10" i="120"/>
  <c r="N22" i="153"/>
  <c r="I17" i="124" s="1"/>
  <c r="G17" i="124"/>
  <c r="F17" i="124"/>
  <c r="E17" i="124" s="1"/>
  <c r="T29" i="152"/>
  <c r="D12" i="124"/>
  <c r="D12" i="148"/>
  <c r="D10" i="120"/>
  <c r="L13" i="153"/>
  <c r="F15" i="124" s="1"/>
  <c r="E15" i="124" s="1"/>
  <c r="D23" i="148"/>
  <c r="D9" i="87"/>
  <c r="D11" i="87" s="1"/>
  <c r="F53" i="107" s="1"/>
  <c r="H22" i="153"/>
  <c r="I12" i="124" s="1"/>
  <c r="G12" i="124"/>
  <c r="J22" i="153"/>
  <c r="I13" i="124" s="1"/>
  <c r="G13" i="124"/>
  <c r="E13" i="153"/>
  <c r="F10" i="124" s="1"/>
  <c r="D10" i="124"/>
  <c r="M22" i="148"/>
  <c r="E35" i="29"/>
  <c r="E37" i="29" s="1"/>
  <c r="D83" i="148"/>
  <c r="I373" i="148"/>
  <c r="D43" i="149"/>
  <c r="E27" i="153"/>
  <c r="F39" i="158"/>
  <c r="D35" i="29"/>
  <c r="J44" i="148"/>
  <c r="D22" i="154"/>
  <c r="K21" i="124" s="1"/>
  <c r="G39" i="107" s="1"/>
  <c r="E47" i="148"/>
  <c r="C410" i="149"/>
  <c r="C412" i="149" s="1"/>
  <c r="D412" i="149" s="1"/>
  <c r="D466" i="149" s="1"/>
  <c r="O1443" i="149"/>
  <c r="O1445" i="149" s="1"/>
  <c r="J52" i="148"/>
  <c r="F27" i="153"/>
  <c r="D399" i="149"/>
  <c r="D191" i="148"/>
  <c r="D16" i="148" s="1"/>
  <c r="K27" i="153"/>
  <c r="K14" i="124" s="1"/>
  <c r="D90" i="149"/>
  <c r="D283" i="149"/>
  <c r="I27" i="153"/>
  <c r="I28" i="153"/>
  <c r="I30" i="153" s="1"/>
  <c r="M24" i="148"/>
  <c r="M44" i="148"/>
  <c r="N27" i="153"/>
  <c r="K17" i="124" s="1"/>
  <c r="T58" i="152"/>
  <c r="D1446" i="149"/>
  <c r="D1448" i="149" s="1"/>
  <c r="L27" i="153"/>
  <c r="K15" i="124" s="1"/>
  <c r="J46" i="148"/>
  <c r="M25" i="148"/>
  <c r="F25" i="151"/>
  <c r="G36" i="151" s="1"/>
  <c r="D458" i="148"/>
  <c r="H1410" i="149"/>
  <c r="D377" i="149" s="1"/>
  <c r="D384" i="149" s="1"/>
  <c r="F29" i="158"/>
  <c r="G29" i="158" s="1"/>
  <c r="E186" i="150"/>
  <c r="J24" i="148"/>
  <c r="D188" i="149"/>
  <c r="D500" i="148"/>
  <c r="D501" i="148" s="1"/>
  <c r="F501" i="148" s="1"/>
  <c r="D19" i="148"/>
  <c r="H27" i="153"/>
  <c r="M27" i="153"/>
  <c r="K16" i="124" s="1"/>
  <c r="C45" i="154"/>
  <c r="K22" i="124" s="1"/>
  <c r="G40" i="107" s="1"/>
  <c r="M46" i="148"/>
  <c r="K166" i="157"/>
  <c r="C20" i="156"/>
  <c r="C22" i="156" s="1"/>
  <c r="E13" i="156"/>
  <c r="F38" i="156"/>
  <c r="D46" i="156" s="1"/>
  <c r="F33" i="156"/>
  <c r="D33" i="156"/>
  <c r="D55" i="156"/>
  <c r="D56" i="156" s="1"/>
  <c r="D13" i="156"/>
  <c r="E26" i="155"/>
  <c r="E25" i="155"/>
  <c r="B23" i="155"/>
  <c r="R15" i="155"/>
  <c r="B18" i="155"/>
  <c r="C25" i="155"/>
  <c r="C26" i="155"/>
  <c r="E23" i="154"/>
  <c r="E22" i="154"/>
  <c r="O13" i="153"/>
  <c r="O27" i="153"/>
  <c r="K18" i="124" s="1"/>
  <c r="P10" i="153"/>
  <c r="C27" i="153"/>
  <c r="K9" i="124" s="1"/>
  <c r="C13" i="153"/>
  <c r="F9" i="124" s="1"/>
  <c r="P19" i="153"/>
  <c r="P22" i="153" s="1"/>
  <c r="P26" i="153"/>
  <c r="S26" i="153" s="1"/>
  <c r="G27" i="153"/>
  <c r="K11" i="124" s="1"/>
  <c r="B33" i="151"/>
  <c r="F27" i="151"/>
  <c r="G27" i="151" s="1"/>
  <c r="D142" i="149"/>
  <c r="C142" i="149"/>
  <c r="D709" i="149"/>
  <c r="D172" i="149"/>
  <c r="D175" i="149" s="1"/>
  <c r="C172" i="149"/>
  <c r="D295" i="149"/>
  <c r="D299" i="149" s="1"/>
  <c r="C295" i="149"/>
  <c r="D148" i="149"/>
  <c r="C148" i="149"/>
  <c r="D303" i="149"/>
  <c r="D309" i="149" s="1"/>
  <c r="C519" i="149"/>
  <c r="C629" i="149"/>
  <c r="D371" i="149"/>
  <c r="J13" i="148"/>
  <c r="M13" i="148"/>
  <c r="E507" i="148"/>
  <c r="D107" i="148"/>
  <c r="D114" i="148" s="1"/>
  <c r="D116" i="148" s="1"/>
  <c r="F30" i="148"/>
  <c r="F59" i="148" s="1"/>
  <c r="E57" i="148"/>
  <c r="K50" i="148"/>
  <c r="E487" i="148"/>
  <c r="M54" i="148"/>
  <c r="J54" i="148"/>
  <c r="D57" i="148"/>
  <c r="J50" i="148"/>
  <c r="M50" i="148"/>
  <c r="D487" i="148"/>
  <c r="E82" i="148"/>
  <c r="E84" i="148" s="1"/>
  <c r="J357" i="148"/>
  <c r="I433" i="148"/>
  <c r="E90" i="148"/>
  <c r="M29" i="148"/>
  <c r="H433" i="148"/>
  <c r="F433" i="148"/>
  <c r="D90" i="148"/>
  <c r="K12" i="105"/>
  <c r="L12" i="105" s="1"/>
  <c r="M12" i="105" s="1"/>
  <c r="G100" i="148" l="1"/>
  <c r="T59" i="152"/>
  <c r="T60" i="152" s="1"/>
  <c r="G106" i="148"/>
  <c r="E107" i="148"/>
  <c r="E114" i="148" s="1"/>
  <c r="E116" i="148" s="1"/>
  <c r="E55" i="110"/>
  <c r="E57" i="110" s="1"/>
  <c r="C56" i="110" s="1"/>
  <c r="D84" i="148"/>
  <c r="M12" i="148"/>
  <c r="G31" i="107"/>
  <c r="G22" i="108"/>
  <c r="D32" i="152"/>
  <c r="D34" i="152" s="1"/>
  <c r="D37" i="152" s="1"/>
  <c r="D60" i="152" s="1"/>
  <c r="D62" i="152" s="1"/>
  <c r="N78" i="152" s="1"/>
  <c r="C32" i="110"/>
  <c r="C37" i="110" s="1"/>
  <c r="C55" i="110" s="1"/>
  <c r="C57" i="110" s="1"/>
  <c r="M16" i="148"/>
  <c r="I25" i="151"/>
  <c r="I33" i="151" s="1"/>
  <c r="K33" i="151" s="1"/>
  <c r="K38" i="151" s="1"/>
  <c r="E91" i="148"/>
  <c r="C46" i="154"/>
  <c r="J22" i="124" s="1"/>
  <c r="F40" i="107" s="1"/>
  <c r="M47" i="148"/>
  <c r="F22" i="108"/>
  <c r="H28" i="153"/>
  <c r="H30" i="153" s="1"/>
  <c r="F7" i="108"/>
  <c r="F11" i="108" s="1"/>
  <c r="D12" i="1"/>
  <c r="J12" i="148"/>
  <c r="F100" i="148"/>
  <c r="E17" i="148"/>
  <c r="G7" i="108"/>
  <c r="G11" i="108" s="1"/>
  <c r="E12" i="1"/>
  <c r="D101" i="148"/>
  <c r="K169" i="157"/>
  <c r="D503" i="148"/>
  <c r="D507" i="148" s="1"/>
  <c r="D509" i="148" s="1"/>
  <c r="G81" i="148"/>
  <c r="E492" i="148"/>
  <c r="G88" i="148"/>
  <c r="L28" i="153"/>
  <c r="L30" i="153" s="1"/>
  <c r="N28" i="153"/>
  <c r="N30" i="153" s="1"/>
  <c r="G62" i="152"/>
  <c r="F59" i="152"/>
  <c r="G59" i="152" s="1"/>
  <c r="E77" i="152"/>
  <c r="D19" i="124"/>
  <c r="D19" i="89"/>
  <c r="D26" i="89" s="1"/>
  <c r="F51" i="107" s="1"/>
  <c r="D208" i="148"/>
  <c r="D17" i="148"/>
  <c r="D23" i="154"/>
  <c r="J21" i="124" s="1"/>
  <c r="F39" i="107" s="1"/>
  <c r="E19" i="89"/>
  <c r="E26" i="89" s="1"/>
  <c r="G51" i="107" s="1"/>
  <c r="E208" i="148"/>
  <c r="G83" i="148"/>
  <c r="K12" i="124"/>
  <c r="G28" i="153"/>
  <c r="I11" i="124"/>
  <c r="H11" i="124" s="1"/>
  <c r="G19" i="124"/>
  <c r="H9" i="124"/>
  <c r="E10" i="124"/>
  <c r="H16" i="124"/>
  <c r="K28" i="153"/>
  <c r="F14" i="124"/>
  <c r="E14" i="124" s="1"/>
  <c r="J28" i="153"/>
  <c r="H13" i="124"/>
  <c r="H15" i="124"/>
  <c r="M28" i="153"/>
  <c r="H12" i="124"/>
  <c r="E12" i="124"/>
  <c r="J12" i="124"/>
  <c r="K10" i="124"/>
  <c r="H17" i="124"/>
  <c r="E28" i="153"/>
  <c r="I10" i="124"/>
  <c r="H10" i="124" s="1"/>
  <c r="O28" i="153"/>
  <c r="F18" i="124"/>
  <c r="E18" i="124" s="1"/>
  <c r="M23" i="148"/>
  <c r="J23" i="148"/>
  <c r="H14" i="124"/>
  <c r="E18" i="120"/>
  <c r="G43" i="107"/>
  <c r="H21" i="124"/>
  <c r="E9" i="124"/>
  <c r="D18" i="120"/>
  <c r="F43" i="107"/>
  <c r="H22" i="124"/>
  <c r="E11" i="124"/>
  <c r="H18" i="124"/>
  <c r="F31" i="107"/>
  <c r="D37" i="29"/>
  <c r="J16" i="148"/>
  <c r="J19" i="148"/>
  <c r="M19" i="148"/>
  <c r="C32" i="156"/>
  <c r="C38" i="156" s="1"/>
  <c r="B46" i="156" s="1"/>
  <c r="C13" i="156"/>
  <c r="C55" i="156"/>
  <c r="B25" i="155"/>
  <c r="B30" i="155" s="1"/>
  <c r="R18" i="155"/>
  <c r="B26" i="155"/>
  <c r="P13" i="153"/>
  <c r="P28" i="153" s="1"/>
  <c r="C28" i="153"/>
  <c r="P27" i="153"/>
  <c r="S27" i="153" s="1"/>
  <c r="F33" i="151"/>
  <c r="D520" i="149"/>
  <c r="D565" i="149" s="1"/>
  <c r="C520" i="149"/>
  <c r="D149" i="149"/>
  <c r="E92" i="148"/>
  <c r="E517" i="148"/>
  <c r="E509" i="148"/>
  <c r="E512" i="148"/>
  <c r="E484" i="148"/>
  <c r="G90" i="148"/>
  <c r="D91" i="148"/>
  <c r="J433" i="148"/>
  <c r="D484" i="148"/>
  <c r="M57" i="148"/>
  <c r="G82" i="148"/>
  <c r="J17" i="124" l="1"/>
  <c r="F64" i="152"/>
  <c r="F62" i="152"/>
  <c r="D92" i="148"/>
  <c r="M17" i="148"/>
  <c r="G76" i="152"/>
  <c r="J15" i="124"/>
  <c r="I19" i="124"/>
  <c r="G23" i="108"/>
  <c r="G27" i="108" s="1"/>
  <c r="F23" i="108"/>
  <c r="F27" i="108" s="1"/>
  <c r="D517" i="148"/>
  <c r="D77" i="152"/>
  <c r="D512" i="148"/>
  <c r="E19" i="124"/>
  <c r="D504" i="148"/>
  <c r="D505" i="148" s="1"/>
  <c r="D21" i="148"/>
  <c r="E504" i="148"/>
  <c r="E505" i="148" s="1"/>
  <c r="E21" i="148"/>
  <c r="K19" i="124"/>
  <c r="G38" i="107" s="1"/>
  <c r="G57" i="107" s="1"/>
  <c r="J30" i="153"/>
  <c r="J13" i="124"/>
  <c r="E30" i="153"/>
  <c r="J10" i="124"/>
  <c r="H19" i="124"/>
  <c r="K30" i="153"/>
  <c r="J14" i="124"/>
  <c r="M30" i="153"/>
  <c r="J16" i="124"/>
  <c r="F19" i="124"/>
  <c r="O30" i="153"/>
  <c r="J18" i="124"/>
  <c r="C30" i="153"/>
  <c r="J9" i="124"/>
  <c r="G30" i="153"/>
  <c r="J11" i="124"/>
  <c r="P30" i="153"/>
  <c r="S28" i="153"/>
  <c r="F34" i="151"/>
  <c r="H33" i="151"/>
  <c r="G33" i="151"/>
  <c r="E96" i="148"/>
  <c r="E94" i="148"/>
  <c r="D96" i="148"/>
  <c r="D94" i="148"/>
  <c r="F509" i="148"/>
  <c r="K21" i="148" l="1"/>
  <c r="E26" i="148"/>
  <c r="J21" i="148"/>
  <c r="D26" i="148"/>
  <c r="M21" i="148"/>
  <c r="F505" i="148"/>
  <c r="J19" i="124"/>
  <c r="F38" i="107" s="1"/>
  <c r="F57" i="107" s="1"/>
  <c r="J129" i="148"/>
  <c r="J131" i="148" s="1"/>
  <c r="D520" i="148"/>
  <c r="D491" i="148"/>
  <c r="D493" i="148" s="1"/>
  <c r="D102" i="148"/>
  <c r="E520" i="148"/>
  <c r="L96" i="148"/>
  <c r="L100" i="148" s="1"/>
  <c r="E491" i="148"/>
  <c r="E493" i="148" s="1"/>
  <c r="K96" i="148"/>
  <c r="K100" i="148" s="1"/>
  <c r="E102" i="148"/>
  <c r="D483" i="148" l="1"/>
  <c r="D485" i="148" s="1"/>
  <c r="D30" i="148"/>
  <c r="E483" i="148"/>
  <c r="E485" i="148" s="1"/>
  <c r="E30" i="148"/>
  <c r="E521" i="148" s="1"/>
  <c r="E451" i="148"/>
  <c r="E110" i="148"/>
  <c r="E108" i="148"/>
  <c r="E524" i="148"/>
  <c r="E522" i="148"/>
  <c r="D451" i="148"/>
  <c r="D110" i="148"/>
  <c r="D108" i="148"/>
  <c r="F493" i="148"/>
  <c r="D524" i="148"/>
  <c r="M30" i="148" l="1"/>
  <c r="D521" i="148"/>
  <c r="D522" i="148" s="1"/>
  <c r="F522" i="148" s="1"/>
  <c r="F485" i="148"/>
  <c r="D246" i="148"/>
  <c r="D495" i="148"/>
  <c r="G108" i="148"/>
  <c r="G122" i="148" s="1"/>
  <c r="D112" i="148"/>
  <c r="D118" i="148"/>
  <c r="D120" i="148" s="1"/>
  <c r="J120" i="148" s="1"/>
  <c r="D453" i="148"/>
  <c r="D121" i="148" s="1"/>
  <c r="F29" i="108" s="1"/>
  <c r="D457" i="148"/>
  <c r="D459" i="148" s="1"/>
  <c r="D122" i="148" s="1"/>
  <c r="F30" i="108" s="1"/>
  <c r="E246" i="148"/>
  <c r="E495" i="148"/>
  <c r="E112" i="148"/>
  <c r="E118" i="148"/>
  <c r="E120" i="148" s="1"/>
  <c r="E453" i="148"/>
  <c r="E121" i="148" s="1"/>
  <c r="G29" i="108" s="1"/>
  <c r="E457" i="148"/>
  <c r="E459" i="148" s="1"/>
  <c r="E122" i="148" s="1"/>
  <c r="G30" i="108" s="1"/>
  <c r="E249" i="148" l="1"/>
  <c r="E255" i="148" s="1"/>
  <c r="E35" i="148" s="1"/>
  <c r="E27" i="62"/>
  <c r="E32" i="62" s="1"/>
  <c r="E33" i="62" s="1"/>
  <c r="G14" i="107" s="1"/>
  <c r="G34" i="107" s="1"/>
  <c r="G62" i="107" s="1"/>
  <c r="D249" i="148"/>
  <c r="D255" i="148" s="1"/>
  <c r="D35" i="148" s="1"/>
  <c r="J35" i="148" s="1"/>
  <c r="J59" i="148" s="1"/>
  <c r="D27" i="62"/>
  <c r="D32" i="62" s="1"/>
  <c r="D33" i="62" s="1"/>
  <c r="F14" i="107" s="1"/>
  <c r="F34" i="107" s="1"/>
  <c r="F62" i="107" s="1"/>
  <c r="E516" i="148"/>
  <c r="E518" i="148" s="1"/>
  <c r="E38" i="148"/>
  <c r="K35" i="148"/>
  <c r="K59" i="148" s="1"/>
  <c r="L39" i="148"/>
  <c r="D516" i="148"/>
  <c r="D518" i="148" s="1"/>
  <c r="F518" i="148" s="1"/>
  <c r="M35" i="148"/>
  <c r="D38" i="148" l="1"/>
  <c r="D513" i="148"/>
  <c r="D514" i="148" s="1"/>
  <c r="D525" i="148"/>
  <c r="D526" i="148" s="1"/>
  <c r="D496" i="148"/>
  <c r="D497" i="148" s="1"/>
  <c r="D488" i="148"/>
  <c r="D489" i="148" s="1"/>
  <c r="M38" i="148"/>
  <c r="D58" i="148"/>
  <c r="E513" i="148"/>
  <c r="E514" i="148" s="1"/>
  <c r="E496" i="148"/>
  <c r="E497" i="148" s="1"/>
  <c r="E525" i="148"/>
  <c r="E526" i="148" s="1"/>
  <c r="E488" i="148"/>
  <c r="E489" i="148" s="1"/>
  <c r="E58" i="148"/>
  <c r="E59" i="148" s="1"/>
  <c r="D59" i="148" l="1"/>
  <c r="M58" i="148"/>
  <c r="F489" i="148"/>
  <c r="F497" i="148"/>
  <c r="F526" i="148"/>
  <c r="F514" i="148"/>
</calcChain>
</file>

<file path=xl/comments1.xml><?xml version="1.0" encoding="utf-8"?>
<comments xmlns="http://schemas.openxmlformats.org/spreadsheetml/2006/main">
  <authors>
    <author>MSPGCL-Loan Sec.</author>
  </authors>
  <commentList>
    <comment ref="J49" authorId="0" shapeId="0">
      <text>
        <r>
          <rPr>
            <b/>
            <sz val="9"/>
            <color indexed="81"/>
            <rFont val="Tahoma"/>
            <family val="2"/>
          </rPr>
          <t>MSPGCL-Loan Sec.:</t>
        </r>
        <r>
          <rPr>
            <sz val="9"/>
            <color indexed="81"/>
            <rFont val="Tahoma"/>
            <family val="2"/>
          </rPr>
          <t xml:space="preserve">
First due date of repayment of scheme-6126 is 15.1.2022 as per E-mail from REC dt. 8.1.2019</t>
        </r>
      </text>
    </comment>
    <comment ref="J161" authorId="0" shapeId="0">
      <text>
        <r>
          <rPr>
            <b/>
            <sz val="9"/>
            <color indexed="81"/>
            <rFont val="Tahoma"/>
            <family val="2"/>
          </rPr>
          <t>MSPGCL-Loan Sec.:</t>
        </r>
        <r>
          <rPr>
            <sz val="9"/>
            <color indexed="81"/>
            <rFont val="Tahoma"/>
            <family val="2"/>
          </rPr>
          <t xml:space="preserve">
based on actual semi-annual installment paid on 30.6.2023</t>
        </r>
      </text>
    </comment>
    <comment ref="J163" authorId="0" shapeId="0">
      <text>
        <r>
          <rPr>
            <b/>
            <sz val="9"/>
            <color indexed="81"/>
            <rFont val="Tahoma"/>
            <family val="2"/>
          </rPr>
          <t>MSPGCL-Loan Sec.:</t>
        </r>
        <r>
          <rPr>
            <sz val="9"/>
            <color indexed="81"/>
            <rFont val="Tahoma"/>
            <family val="2"/>
          </rPr>
          <t xml:space="preserve">
based on actual semi-annual installment paid on 30.6.2023</t>
        </r>
      </text>
    </comment>
  </commentList>
</comments>
</file>

<file path=xl/sharedStrings.xml><?xml version="1.0" encoding="utf-8"?>
<sst xmlns="http://schemas.openxmlformats.org/spreadsheetml/2006/main" count="4774" uniqueCount="2956">
  <si>
    <t>&lt;Name of the Generating Company /Transmission Licensee/Distribution Licensee/MSLDC &gt;</t>
  </si>
  <si>
    <t>Accounting Statement Formats - G,T,D</t>
  </si>
  <si>
    <t>S.No.</t>
  </si>
  <si>
    <t>Title</t>
  </si>
  <si>
    <t>Reference</t>
  </si>
  <si>
    <t>Balance Sheet</t>
  </si>
  <si>
    <t>Balance sheet</t>
  </si>
  <si>
    <t>Profit Loss</t>
  </si>
  <si>
    <t>Profit loss</t>
  </si>
  <si>
    <t>Cash Flow</t>
  </si>
  <si>
    <t>CashFlow</t>
  </si>
  <si>
    <t>Share Capital</t>
  </si>
  <si>
    <t>Note 3</t>
  </si>
  <si>
    <t>Reserves and Surplus</t>
  </si>
  <si>
    <t>Note 4</t>
  </si>
  <si>
    <t>Secured Loans</t>
  </si>
  <si>
    <t>Note 5.1</t>
  </si>
  <si>
    <t>Unsecured Loans</t>
  </si>
  <si>
    <t>Note 5.2</t>
  </si>
  <si>
    <t>Other Long Term Liabilities &amp; Long Term Provisions</t>
  </si>
  <si>
    <t>Notes 6 &amp; 7</t>
  </si>
  <si>
    <t>Short Term Borrowings</t>
  </si>
  <si>
    <t>Note 8</t>
  </si>
  <si>
    <t>Other Current Liabilities</t>
  </si>
  <si>
    <t>Note 9</t>
  </si>
  <si>
    <t>Short Term Provisions</t>
  </si>
  <si>
    <t>Note 10</t>
  </si>
  <si>
    <t>Tangible Assets</t>
  </si>
  <si>
    <t>Note 11</t>
  </si>
  <si>
    <t>Capital Works in Progress</t>
  </si>
  <si>
    <t>Note 12</t>
  </si>
  <si>
    <t>Long Term Loans &amp; Advances</t>
  </si>
  <si>
    <t>Note 13</t>
  </si>
  <si>
    <t>Other Non Current Assets</t>
  </si>
  <si>
    <t>Note 14</t>
  </si>
  <si>
    <t>Inventories</t>
  </si>
  <si>
    <t>Note 15</t>
  </si>
  <si>
    <t>Trade Receivables and Cash &amp; Cash Equivalents</t>
  </si>
  <si>
    <t>Notes 16 &amp; 17</t>
  </si>
  <si>
    <t>Short Term Loans and Advances</t>
  </si>
  <si>
    <t>Note 18</t>
  </si>
  <si>
    <t>Other Current Assets</t>
  </si>
  <si>
    <t>Note 19</t>
  </si>
  <si>
    <t>Revenue from Operation &amp; Other Income</t>
  </si>
  <si>
    <t>Notes 20 &amp; 21</t>
  </si>
  <si>
    <t>Cost of Material Consumed &amp; Cost of Power Purchase</t>
  </si>
  <si>
    <t>Notes 22 &amp; 22.1</t>
  </si>
  <si>
    <t>Employee Benefit Expenses</t>
  </si>
  <si>
    <t>Note 23</t>
  </si>
  <si>
    <t>Finance Cost and Depreciation &amp; Amortization Expenses</t>
  </si>
  <si>
    <t>Notes 24 &amp; 25</t>
  </si>
  <si>
    <t>Repair &amp; Maintenance</t>
  </si>
  <si>
    <t>Note 26</t>
  </si>
  <si>
    <t>Administrative &amp; General Expenses</t>
  </si>
  <si>
    <t>Note 27</t>
  </si>
  <si>
    <t>Other Debit &amp; Tax Expense</t>
  </si>
  <si>
    <t>Notes 28 &amp; 29</t>
  </si>
  <si>
    <t>Prior Period Items</t>
  </si>
  <si>
    <t>Note 30</t>
  </si>
  <si>
    <t xml:space="preserve">Balance Sheet </t>
  </si>
  <si>
    <t>31.03.2023</t>
  </si>
  <si>
    <t>(in Rupees)</t>
  </si>
  <si>
    <t>Sr. No.</t>
  </si>
  <si>
    <t>Particulars</t>
  </si>
  <si>
    <t>Note No.</t>
  </si>
  <si>
    <t>Figures as at the end of current reporting period</t>
  </si>
  <si>
    <t>Figures as at the end of previous reporting period</t>
  </si>
  <si>
    <t>I</t>
  </si>
  <si>
    <t>EQUITY AND LIABILITES</t>
  </si>
  <si>
    <t>Shareholders' Funds</t>
  </si>
  <si>
    <t>(a)</t>
  </si>
  <si>
    <t>(b)</t>
  </si>
  <si>
    <t>Reserves &amp; Surplus</t>
  </si>
  <si>
    <t>(c)</t>
  </si>
  <si>
    <t>Money received against share warrants</t>
  </si>
  <si>
    <t xml:space="preserve">Share Capital pending allotment </t>
  </si>
  <si>
    <t>Non-Current liabilities</t>
  </si>
  <si>
    <t>Long-term borrowings</t>
  </si>
  <si>
    <t>(i)</t>
  </si>
  <si>
    <t>Secured loans</t>
  </si>
  <si>
    <t>(ii)</t>
  </si>
  <si>
    <t>Unsecured loans</t>
  </si>
  <si>
    <t>Lease Liabilities</t>
  </si>
  <si>
    <t>Deferred tax liabilities (Net)</t>
  </si>
  <si>
    <t>Other long-term liabilities</t>
  </si>
  <si>
    <t>(d)</t>
  </si>
  <si>
    <t>Long-term provisions</t>
  </si>
  <si>
    <t>Current Liabilities</t>
  </si>
  <si>
    <t>Short-term borrowings</t>
  </si>
  <si>
    <t>Trade payables</t>
  </si>
  <si>
    <t>Other current liabilities</t>
  </si>
  <si>
    <t>Short-term provisions</t>
  </si>
  <si>
    <t>Total</t>
  </si>
  <si>
    <t>II</t>
  </si>
  <si>
    <t xml:space="preserve">ASSETS  </t>
  </si>
  <si>
    <t>Non current assets</t>
  </si>
  <si>
    <t>Fixed assets</t>
  </si>
  <si>
    <t>Tangible assets</t>
  </si>
  <si>
    <t xml:space="preserve">    Right To Use Assets</t>
  </si>
  <si>
    <t xml:space="preserve">Intangible assets </t>
  </si>
  <si>
    <t>(iii)</t>
  </si>
  <si>
    <t>Capital work-in-progress</t>
  </si>
  <si>
    <t>(iv)</t>
  </si>
  <si>
    <t>Intangible assets under development</t>
  </si>
  <si>
    <t>Non-current investments</t>
  </si>
  <si>
    <t>Deferred tax assets (Net)</t>
  </si>
  <si>
    <t>Long-term loans and advances</t>
  </si>
  <si>
    <t>(e)</t>
  </si>
  <si>
    <t>Other non-current assets</t>
  </si>
  <si>
    <t>Current assets</t>
  </si>
  <si>
    <t>Current investments</t>
  </si>
  <si>
    <t>Trade receivables</t>
  </si>
  <si>
    <t>Cash &amp; cash equivalents</t>
  </si>
  <si>
    <t>Short-term loans &amp; advances</t>
  </si>
  <si>
    <t>(f)</t>
  </si>
  <si>
    <t>Other Financial assets</t>
  </si>
  <si>
    <t>(g)</t>
  </si>
  <si>
    <t>Other current assets</t>
  </si>
  <si>
    <t>(h)</t>
  </si>
  <si>
    <t>Assets classified as held for sale / disposal</t>
  </si>
  <si>
    <t xml:space="preserve">Significant accounting policies </t>
  </si>
  <si>
    <t>The accompaning Notes are an integral part of financial statements</t>
  </si>
  <si>
    <r>
      <t xml:space="preserve">Note: </t>
    </r>
    <r>
      <rPr>
        <sz val="11"/>
        <rFont val="Times New Roman"/>
        <family val="1"/>
      </rPr>
      <t>To be submitted for each Year for which Truing Up is being sought</t>
    </r>
  </si>
  <si>
    <t>Profit and Loss Account</t>
  </si>
  <si>
    <t>Revenue from operations</t>
  </si>
  <si>
    <t>Other income</t>
  </si>
  <si>
    <t>(a) Non-Tariff Income</t>
  </si>
  <si>
    <t>(b) Others - Other operating revenues</t>
  </si>
  <si>
    <t>Total Revenue (1+2)</t>
  </si>
  <si>
    <t>Expenses</t>
  </si>
  <si>
    <t>(a)*</t>
  </si>
  <si>
    <t>Cost of material consumed/Fuel Cost</t>
  </si>
  <si>
    <t>(b)**</t>
  </si>
  <si>
    <t>Cost of Power Purchase</t>
  </si>
  <si>
    <t>Employee benefit expenses</t>
  </si>
  <si>
    <t>Finance costs</t>
  </si>
  <si>
    <t>Depreciation &amp; amortization expenses</t>
  </si>
  <si>
    <t>Other expenses</t>
  </si>
  <si>
    <t>Repairs &amp; maintenance</t>
  </si>
  <si>
    <t>Administration &amp; General expense</t>
  </si>
  <si>
    <t>any other</t>
  </si>
  <si>
    <t>Total expenes</t>
  </si>
  <si>
    <t>Profit/(Loss) before tax (3-4)</t>
  </si>
  <si>
    <t>Tax expense</t>
  </si>
  <si>
    <t>Current tax</t>
  </si>
  <si>
    <t>Deferred tax</t>
  </si>
  <si>
    <t>Profit /(Loss) after tax from continuing operations (5-6)</t>
  </si>
  <si>
    <t>Earnings per equity share (Rs.)</t>
  </si>
  <si>
    <t>Basic</t>
  </si>
  <si>
    <t>Diluted</t>
  </si>
  <si>
    <t>Note</t>
  </si>
  <si>
    <t>*For Generation &amp; Distribution</t>
  </si>
  <si>
    <t>**For Distribution</t>
  </si>
  <si>
    <t>To be submitted for each Year for which Truing Up is being sought</t>
  </si>
  <si>
    <t>Cash Flow Statement</t>
  </si>
  <si>
    <t>PARTICULARS</t>
  </si>
  <si>
    <t>(A)</t>
  </si>
  <si>
    <t>Cash Flow from Operating Activities</t>
  </si>
  <si>
    <t>Net Profit/(Loss) before tax as per statement of profit and loss account</t>
  </si>
  <si>
    <t>Adjustment for:</t>
  </si>
  <si>
    <t>i</t>
  </si>
  <si>
    <t>Depreciation</t>
  </si>
  <si>
    <t>ii</t>
  </si>
  <si>
    <t>Interest and Finance charges</t>
  </si>
  <si>
    <t>iii</t>
  </si>
  <si>
    <t>Un realised Exchange Rate Difference</t>
  </si>
  <si>
    <t>iv</t>
  </si>
  <si>
    <t>Allowance for ECL</t>
  </si>
  <si>
    <t>v</t>
  </si>
  <si>
    <t>Bad Debts written off</t>
  </si>
  <si>
    <t>vi</t>
  </si>
  <si>
    <t xml:space="preserve">Interest Income  </t>
  </si>
  <si>
    <t>vii</t>
  </si>
  <si>
    <t>Provision for obsolescence of inventory</t>
  </si>
  <si>
    <t>viii</t>
  </si>
  <si>
    <t>Provision for Terminal benefits</t>
  </si>
  <si>
    <t>…</t>
  </si>
  <si>
    <t>Operating Profit/(Loss) before working capital changes</t>
  </si>
  <si>
    <t>Adjustment for working capital changes:</t>
  </si>
  <si>
    <t>Current Assets</t>
  </si>
  <si>
    <t xml:space="preserve">(Increase)/Decrease in Inventories </t>
  </si>
  <si>
    <t>(Increase)/Decrease in Trade receivables</t>
  </si>
  <si>
    <t>(Increase)/Decrease in loans &amp; advances</t>
  </si>
  <si>
    <t>(Increase)/Decrease in Other current assets</t>
  </si>
  <si>
    <t>(Increase)/Decrease in Other non-current assets</t>
  </si>
  <si>
    <t>Current liabilities:</t>
  </si>
  <si>
    <t xml:space="preserve">Increase / (Decrease) in Liabilites and Other Payables  </t>
  </si>
  <si>
    <t>Increase/(Decrease) in Other long-term liabilities</t>
  </si>
  <si>
    <t xml:space="preserve">Net working capital change </t>
  </si>
  <si>
    <t>Cash generated from operations</t>
  </si>
  <si>
    <t>Income tax paid</t>
  </si>
  <si>
    <t>Net Cash from operating activities</t>
  </si>
  <si>
    <t>(B)</t>
  </si>
  <si>
    <t>Cash Flow from investing activities</t>
  </si>
  <si>
    <t>Net addition of fixed assets</t>
  </si>
  <si>
    <t>Investment in Subsidiary</t>
  </si>
  <si>
    <t xml:space="preserve">Interest received </t>
  </si>
  <si>
    <t>Net Cash used in investing activities</t>
  </si>
  <si>
    <t>(C)</t>
  </si>
  <si>
    <t>Cash Flow from financing activities</t>
  </si>
  <si>
    <t>Proceeds from issue of Share Capital</t>
  </si>
  <si>
    <t>Change in long-term borrowings - secured loans</t>
  </si>
  <si>
    <t>Lease Rent</t>
  </si>
  <si>
    <t>Change in short-term borrowings</t>
  </si>
  <si>
    <t>Interest paid</t>
  </si>
  <si>
    <t>Capital Grant Received</t>
  </si>
  <si>
    <t>Net Cash from financing activities</t>
  </si>
  <si>
    <t>(D)</t>
  </si>
  <si>
    <t>Net Increase/(Decrease) in cash and cash equivalents (A+B+C)</t>
  </si>
  <si>
    <t>(E)</t>
  </si>
  <si>
    <t>Cash and cash equivalents at the beginning of the year</t>
  </si>
  <si>
    <t>(F)</t>
  </si>
  <si>
    <t>Cash and cash equivalents at the end of the year</t>
  </si>
  <si>
    <t>Details of cash and cash equivalents at the end of the year:</t>
  </si>
  <si>
    <t>Cash and cash equivalents as on</t>
  </si>
  <si>
    <t xml:space="preserve">    Balances with Banks:</t>
  </si>
  <si>
    <t xml:space="preserve">      - on current accounts</t>
  </si>
  <si>
    <t xml:space="preserve">     Cash Equivalents</t>
  </si>
  <si>
    <t>Overdraft</t>
  </si>
  <si>
    <t xml:space="preserve">    Cash on hand</t>
  </si>
  <si>
    <r>
      <rPr>
        <b/>
        <sz val="11"/>
        <rFont val="Times New Roman"/>
        <family val="1"/>
      </rPr>
      <t>Note</t>
    </r>
    <r>
      <rPr>
        <sz val="11"/>
        <rFont val="Times New Roman"/>
        <family val="1"/>
      </rPr>
      <t>:</t>
    </r>
  </si>
  <si>
    <t>Note 3: Share Capital</t>
  </si>
  <si>
    <t>Account Code</t>
  </si>
  <si>
    <t>Rs.</t>
  </si>
  <si>
    <t>Authorised:</t>
  </si>
  <si>
    <t>Issued, Subscribed and Paid up:</t>
  </si>
  <si>
    <t xml:space="preserve">Note: </t>
  </si>
  <si>
    <t>Note 4: Reserves &amp; Surplus</t>
  </si>
  <si>
    <t>General Reserves</t>
  </si>
  <si>
    <t>Opening Balance</t>
  </si>
  <si>
    <t>Add : Addition during the year</t>
  </si>
  <si>
    <t>Less : Utilized/transferred during the year</t>
  </si>
  <si>
    <t>Closing balance</t>
  </si>
  <si>
    <t xml:space="preserve">Capital Reserves </t>
  </si>
  <si>
    <t>Other Reserves</t>
  </si>
  <si>
    <t>Reserve for Material Cost Variance Account</t>
  </si>
  <si>
    <t xml:space="preserve">Surplus </t>
  </si>
  <si>
    <t>Opening Balance as per Profit &amp; Loss Account</t>
  </si>
  <si>
    <t>Add :Net Profit/(Loss) after tax for the current year</t>
  </si>
  <si>
    <t>i)    Interim dividend paid</t>
  </si>
  <si>
    <t>ii)   Proposed dividend</t>
  </si>
  <si>
    <t>iii) Transfer to Reserve</t>
  </si>
  <si>
    <t xml:space="preserve">Total </t>
  </si>
  <si>
    <t>Note:</t>
  </si>
  <si>
    <t>Note 5: Long Term Borrowings</t>
  </si>
  <si>
    <t>Note 5.1 - Secured Loans</t>
  </si>
  <si>
    <t>31.03.2022</t>
  </si>
  <si>
    <t>Date of Availment of Loan</t>
  </si>
  <si>
    <t>Date of Maturity of Loan</t>
  </si>
  <si>
    <t>Addition</t>
  </si>
  <si>
    <t>Repayment</t>
  </si>
  <si>
    <t>Total Long Term Borrowings</t>
  </si>
  <si>
    <t>Current Maturities of Long term borrowings i.e. other Current Liabilites</t>
  </si>
  <si>
    <t>Non Current Liabilities - Long Term Borrowings</t>
  </si>
  <si>
    <t>(C)=(A)-(B)</t>
  </si>
  <si>
    <t>Term Loan from PFC</t>
  </si>
  <si>
    <t>Total PFC</t>
  </si>
  <si>
    <t>Term Loans from REC</t>
  </si>
  <si>
    <t>C-90001</t>
  </si>
  <si>
    <t>C-90002 &amp; 12610786, 12610622</t>
  </si>
  <si>
    <t>C-90003 &amp; 12610884</t>
  </si>
  <si>
    <t>BSL Repl-13399</t>
  </si>
  <si>
    <t>BSL Repl-15090 FGD Installation</t>
  </si>
  <si>
    <t>Koradi TPS (3x660 MW)-14944 FGD Installation</t>
  </si>
  <si>
    <t>Gare Palma -16770</t>
  </si>
  <si>
    <t>R&amp;M-6126</t>
  </si>
  <si>
    <t>R&amp;M-6135</t>
  </si>
  <si>
    <t>R&amp;M-6138</t>
  </si>
  <si>
    <t>R&amp;M-6139</t>
  </si>
  <si>
    <t>R&amp;M-6152</t>
  </si>
  <si>
    <t>R&amp;M-6158</t>
  </si>
  <si>
    <t>R&amp;M-12856</t>
  </si>
  <si>
    <t>R&amp;M-12881</t>
  </si>
  <si>
    <t>R&amp;M-12882</t>
  </si>
  <si>
    <t>R&amp;M-12883</t>
  </si>
  <si>
    <t>R&amp;M-12885</t>
  </si>
  <si>
    <t>R&amp;M-12886</t>
  </si>
  <si>
    <t>R&amp;M-12887</t>
  </si>
  <si>
    <t>R&amp;M-12888</t>
  </si>
  <si>
    <t>R&amp;M-12889</t>
  </si>
  <si>
    <t>R&amp;M-12890</t>
  </si>
  <si>
    <t>R&amp;M-12891</t>
  </si>
  <si>
    <t>R&amp;M-12892</t>
  </si>
  <si>
    <t>R&amp;M-12893</t>
  </si>
  <si>
    <t>R&amp;M-12894</t>
  </si>
  <si>
    <t>R&amp;M-12895</t>
  </si>
  <si>
    <t>R&amp;M-12896</t>
  </si>
  <si>
    <t>R&amp;M-12897</t>
  </si>
  <si>
    <t>R&amp;M-12898</t>
  </si>
  <si>
    <t>R&amp;M-12899</t>
  </si>
  <si>
    <t>R&amp;M-12901</t>
  </si>
  <si>
    <t>R&amp;M-12902</t>
  </si>
  <si>
    <t>R&amp;M-12903</t>
  </si>
  <si>
    <t>R&amp;M-12904</t>
  </si>
  <si>
    <t>R&amp;M-12906</t>
  </si>
  <si>
    <t>R&amp;M-12909</t>
  </si>
  <si>
    <t>R&amp;M-12912</t>
  </si>
  <si>
    <t>R&amp;M-12915</t>
  </si>
  <si>
    <t>R&amp;M-12917</t>
  </si>
  <si>
    <t>R&amp;M-12918</t>
  </si>
  <si>
    <t>R&amp;M-12919</t>
  </si>
  <si>
    <t>R&amp;M-12920</t>
  </si>
  <si>
    <t>R&amp;M-12921</t>
  </si>
  <si>
    <t>R&amp;M-12922</t>
  </si>
  <si>
    <t>R&amp;M-12926</t>
  </si>
  <si>
    <t>R&amp;M-12927</t>
  </si>
  <si>
    <t>R&amp;M-12929</t>
  </si>
  <si>
    <t>R&amp;M-12930</t>
  </si>
  <si>
    <t>R&amp;M-12931</t>
  </si>
  <si>
    <t>R&amp;M-12932</t>
  </si>
  <si>
    <t>R&amp;M-12933</t>
  </si>
  <si>
    <t>R&amp;M-12934</t>
  </si>
  <si>
    <t>R&amp;M-12935</t>
  </si>
  <si>
    <t>R&amp;M-12936</t>
  </si>
  <si>
    <t>R&amp;M-12937</t>
  </si>
  <si>
    <t>R&amp;M-13352</t>
  </si>
  <si>
    <t>R&amp;M-13353</t>
  </si>
  <si>
    <t>R&amp;M-13354</t>
  </si>
  <si>
    <t>R&amp;M-13355</t>
  </si>
  <si>
    <t>R&amp;M-13357</t>
  </si>
  <si>
    <t>R&amp;M-13358</t>
  </si>
  <si>
    <t>R&amp;M-13360</t>
  </si>
  <si>
    <t>R&amp;M-13361</t>
  </si>
  <si>
    <t>R&amp;M-13362</t>
  </si>
  <si>
    <t>R&amp;M-13363</t>
  </si>
  <si>
    <t>R&amp;M-13364</t>
  </si>
  <si>
    <t>R&amp;M-13365</t>
  </si>
  <si>
    <t>R&amp;M-13367</t>
  </si>
  <si>
    <t>R&amp;M-13989</t>
  </si>
  <si>
    <t>R&amp;M-13991</t>
  </si>
  <si>
    <t>R&amp;M-13992</t>
  </si>
  <si>
    <t>R&amp;M-13993</t>
  </si>
  <si>
    <t>R&amp;M-13994</t>
  </si>
  <si>
    <t>R&amp;M-14020</t>
  </si>
  <si>
    <t>R&amp;M-14021</t>
  </si>
  <si>
    <t>R&amp;M-14028</t>
  </si>
  <si>
    <t>R&amp;M-14062</t>
  </si>
  <si>
    <t>R&amp;M-14235</t>
  </si>
  <si>
    <t>R&amp;M-14494</t>
  </si>
  <si>
    <t>R&amp;M-14500</t>
  </si>
  <si>
    <t>R&amp;M-14501</t>
  </si>
  <si>
    <t>R&amp;M-14544</t>
  </si>
  <si>
    <t>R&amp;M-14606</t>
  </si>
  <si>
    <t>R&amp;M-14612</t>
  </si>
  <si>
    <t>R&amp;M-14660</t>
  </si>
  <si>
    <t>R&amp;M-14661</t>
  </si>
  <si>
    <t>R&amp;M-14663</t>
  </si>
  <si>
    <t>R&amp;M-14749</t>
  </si>
  <si>
    <t>R&amp;M-14750</t>
  </si>
  <si>
    <t>R&amp;M-14751</t>
  </si>
  <si>
    <t>R&amp;M-14753</t>
  </si>
  <si>
    <t>R&amp;M-14755</t>
  </si>
  <si>
    <t>R&amp;M-14497</t>
  </si>
  <si>
    <t>R&amp;M-14498</t>
  </si>
  <si>
    <t>R&amp;M-14662</t>
  </si>
  <si>
    <t>R&amp;M-14754</t>
  </si>
  <si>
    <t>R&amp;M-15058</t>
  </si>
  <si>
    <t>R&amp;M-15060</t>
  </si>
  <si>
    <t>R&amp;M-15061</t>
  </si>
  <si>
    <t>R&amp;M-15064</t>
  </si>
  <si>
    <t>R&amp;M-15065</t>
  </si>
  <si>
    <t>R&amp;M-15066</t>
  </si>
  <si>
    <t>R&amp;M-15248</t>
  </si>
  <si>
    <t>R&amp;M-15249</t>
  </si>
  <si>
    <t>R&amp;M-15270</t>
  </si>
  <si>
    <t>R&amp;M-15439</t>
  </si>
  <si>
    <t>R&amp;M-15441</t>
  </si>
  <si>
    <t>R&amp;M-15442</t>
  </si>
  <si>
    <t>R&amp;M-15444</t>
  </si>
  <si>
    <t>MTL-17111</t>
  </si>
  <si>
    <t>Total-REC</t>
  </si>
  <si>
    <t>Term Loans from REC-MTL</t>
  </si>
  <si>
    <t>MTL-14843</t>
  </si>
  <si>
    <t>REC MTL</t>
  </si>
  <si>
    <t>MTL-15798</t>
  </si>
  <si>
    <t>MTL-16035</t>
  </si>
  <si>
    <t>PFC MTL</t>
  </si>
  <si>
    <t>Term Loans from HUDCO</t>
  </si>
  <si>
    <t>Term Loans from State Bank of India</t>
  </si>
  <si>
    <t>Term Loans from South Indian Bank.</t>
  </si>
  <si>
    <t>Total Others</t>
  </si>
  <si>
    <t>Gr. Total</t>
  </si>
  <si>
    <t>Note 5.2 - Unsecured Loans</t>
  </si>
  <si>
    <t>Add</t>
  </si>
  <si>
    <t>Rep</t>
  </si>
  <si>
    <t>Term Loan from KfW Germany</t>
  </si>
  <si>
    <t xml:space="preserve">17796502E- Solar PV Power plant </t>
  </si>
  <si>
    <t>Term Loan from IBRD-World Bank</t>
  </si>
  <si>
    <t>7687-IN Coal Fired Generation Rehabiliation Project</t>
  </si>
  <si>
    <t>Term Loan from CSSEPL</t>
  </si>
  <si>
    <t>Baramati Solar Project</t>
  </si>
  <si>
    <t>Govt of Maharashtra</t>
  </si>
  <si>
    <t>Financial Assistance</t>
  </si>
  <si>
    <t>….</t>
  </si>
  <si>
    <t>Note 6: Other Long Term Liabilities</t>
  </si>
  <si>
    <t>Account</t>
  </si>
  <si>
    <t>Trade Payables</t>
  </si>
  <si>
    <t>Others</t>
  </si>
  <si>
    <t>Capital Grant</t>
  </si>
  <si>
    <t>Retention and Payables</t>
  </si>
  <si>
    <t>Note 7: Long Term Provisions</t>
  </si>
  <si>
    <t>Provision for Gratuity</t>
  </si>
  <si>
    <t>Provision for  Leave encashment</t>
  </si>
  <si>
    <t>Note 8: Short Term Borrowings</t>
  </si>
  <si>
    <t>Account code</t>
  </si>
  <si>
    <t>Loan repayable on demand from banks</t>
  </si>
  <si>
    <t>Bank of India</t>
  </si>
  <si>
    <t>50201-WCDL</t>
  </si>
  <si>
    <t>Bank of Maharashtra</t>
  </si>
  <si>
    <t>50202-WCDL</t>
  </si>
  <si>
    <t>Canara Bank</t>
  </si>
  <si>
    <t>50203-WCDL</t>
  </si>
  <si>
    <t>Indian Bank</t>
  </si>
  <si>
    <t>50204-WCDL</t>
  </si>
  <si>
    <t>Central Bank of India</t>
  </si>
  <si>
    <t>50205-WCDL</t>
  </si>
  <si>
    <t>State Bank of India</t>
  </si>
  <si>
    <t>50206-WCDL</t>
  </si>
  <si>
    <t>CC from SBI 2465-SECR</t>
  </si>
  <si>
    <t>24128/24129-CC</t>
  </si>
  <si>
    <t>CC from SBI 8427-SCR</t>
  </si>
  <si>
    <t>24126/24127-CC</t>
  </si>
  <si>
    <t>CC from SBI 1663-ECOR         </t>
  </si>
  <si>
    <t>24136/24137-CC</t>
  </si>
  <si>
    <t>CC from SBI 1081-SER</t>
  </si>
  <si>
    <t>24138/24139-CC</t>
  </si>
  <si>
    <t>CC frm BoI</t>
  </si>
  <si>
    <t>24021/24022-CC</t>
  </si>
  <si>
    <t>CC frm BoM</t>
  </si>
  <si>
    <t>24041/24042-CC</t>
  </si>
  <si>
    <t>CC frm Canara          </t>
  </si>
  <si>
    <t>24061/24062-CC</t>
  </si>
  <si>
    <t>Maharashtra State Co-Operative Bank Ltd.</t>
  </si>
  <si>
    <t>Bank of Baroda</t>
  </si>
  <si>
    <t>Gadchiroli DCC Bank</t>
  </si>
  <si>
    <t>Indian Bank-Covid Loan</t>
  </si>
  <si>
    <t>Central Bank of India-Covid Loan</t>
  </si>
  <si>
    <t>Current Maturities of Long Term Debt</t>
  </si>
  <si>
    <t>Note 9 - Other Current Liabilities</t>
  </si>
  <si>
    <t>Interest accrued and due on borrowings</t>
  </si>
  <si>
    <t>Other Payables</t>
  </si>
  <si>
    <t>Liability for Capital supplies/works</t>
  </si>
  <si>
    <t>Liability for supply of Material - O&amp;M</t>
  </si>
  <si>
    <t>Staff related liabilities &amp; provisions</t>
  </si>
  <si>
    <t>Related party payables</t>
  </si>
  <si>
    <t>(v)</t>
  </si>
  <si>
    <t xml:space="preserve">Interest accrued but not due on borrowings </t>
  </si>
  <si>
    <t>(vi)</t>
  </si>
  <si>
    <t>GPF Liabilities</t>
  </si>
  <si>
    <t>Retention &amp; Payables</t>
  </si>
  <si>
    <t>Other Deposits</t>
  </si>
  <si>
    <t>Payable to Government</t>
  </si>
  <si>
    <t>Sub-Total</t>
  </si>
  <si>
    <t>Current maturities of Capital Grant</t>
  </si>
  <si>
    <t>Income tax deducted at source</t>
  </si>
  <si>
    <t>Income tax collected at source</t>
  </si>
  <si>
    <t>Service Tax liability &amp; Electricity Duty Payable</t>
  </si>
  <si>
    <t>GST Liabilities</t>
  </si>
  <si>
    <t>Professional Tax Liability</t>
  </si>
  <si>
    <t>Trade payable</t>
  </si>
  <si>
    <t>Note 10: Short Term Provisions</t>
  </si>
  <si>
    <t>Provision for Income Tax</t>
  </si>
  <si>
    <t xml:space="preserve">Note 11: Tangible Assets </t>
  </si>
  <si>
    <t>Gross Block</t>
  </si>
  <si>
    <t>Provision for Depreciation</t>
  </si>
  <si>
    <t>Net Block</t>
  </si>
  <si>
    <t xml:space="preserve">As at </t>
  </si>
  <si>
    <t xml:space="preserve">Addition/ Disposal during the year </t>
  </si>
  <si>
    <t xml:space="preserve">Depreciation during the year </t>
  </si>
  <si>
    <t>Land and land rights</t>
  </si>
  <si>
    <t>Buildings</t>
  </si>
  <si>
    <t>Hydraulic Works</t>
  </si>
  <si>
    <t>Other civil works</t>
  </si>
  <si>
    <t>Plant and Machinery</t>
  </si>
  <si>
    <t>Line and cable net works</t>
  </si>
  <si>
    <t>Vehicles</t>
  </si>
  <si>
    <t>Furniture and fixture</t>
  </si>
  <si>
    <t>Office Equipment</t>
  </si>
  <si>
    <t>Total Tangible Assets</t>
  </si>
  <si>
    <t>Right to use Assets</t>
  </si>
  <si>
    <t>Intantible Assets</t>
  </si>
  <si>
    <t>Note 12: Capital Work in Progress</t>
  </si>
  <si>
    <t>Sr. No</t>
  </si>
  <si>
    <t>Capital works in progress</t>
  </si>
  <si>
    <t>Freehold land</t>
  </si>
  <si>
    <t>Factory Buildings</t>
  </si>
  <si>
    <t>Other Buildings</t>
  </si>
  <si>
    <t>Railway Sidings</t>
  </si>
  <si>
    <t>Roads &amp; Others</t>
  </si>
  <si>
    <t xml:space="preserve">Plant &amp; Machinery </t>
  </si>
  <si>
    <t>Furniture &amp; Fixtures</t>
  </si>
  <si>
    <t>Office Equipments</t>
  </si>
  <si>
    <t>Contracts in progress :</t>
  </si>
  <si>
    <t>Advances to Suppliers/ Contractors (capital) - being issue of material for works</t>
  </si>
  <si>
    <t>Intangible assets</t>
  </si>
  <si>
    <t>Note 13: Long Term Loans &amp; Advances</t>
  </si>
  <si>
    <t>Capital Advances</t>
  </si>
  <si>
    <t>Secured, Considered good</t>
  </si>
  <si>
    <t>Unsecured, Considered good</t>
  </si>
  <si>
    <t>Doubtful</t>
  </si>
  <si>
    <t>Security Deposits</t>
  </si>
  <si>
    <t>Staff Advance</t>
  </si>
  <si>
    <t>Income Tax refundable net of provisions</t>
  </si>
  <si>
    <t>Deferred Lease Rent</t>
  </si>
  <si>
    <t>Advances for O&amp;M</t>
  </si>
  <si>
    <t>Advance to Irigation Department</t>
  </si>
  <si>
    <t>Advances for fuel supplies/Others</t>
  </si>
  <si>
    <t>Less:- Provision for Doubtful Debts</t>
  </si>
  <si>
    <t>Net Total</t>
  </si>
  <si>
    <t>Note 14: Other Non Current Assets</t>
  </si>
  <si>
    <t>Sr.No</t>
  </si>
  <si>
    <t>Non Current Investments</t>
  </si>
  <si>
    <t>Other receivables</t>
  </si>
  <si>
    <t>Bank Deposits with more than 12 months maturity</t>
  </si>
  <si>
    <t>Less : Provision for bad &amp; doubtful debts</t>
  </si>
  <si>
    <t>Net Other Receivables</t>
  </si>
  <si>
    <t>Note 15: Inventories</t>
  </si>
  <si>
    <t>Stores &amp; Spares</t>
  </si>
  <si>
    <t>Raw Material (Coal)</t>
  </si>
  <si>
    <t>Fuel, Oil, LDO etc.</t>
  </si>
  <si>
    <t>Stock in transit</t>
  </si>
  <si>
    <t xml:space="preserve">Less: Provisions for </t>
  </si>
  <si>
    <t>Provision for obsolescence</t>
  </si>
  <si>
    <t>Provision for material shortage pending investigation</t>
  </si>
  <si>
    <t>Total Provisions</t>
  </si>
  <si>
    <t>Net</t>
  </si>
  <si>
    <t>Note 16: Trade Receivables</t>
  </si>
  <si>
    <t>Outstanding for more than six months from due date</t>
  </si>
  <si>
    <t>Other Debts</t>
  </si>
  <si>
    <t>Unbilled Receivables</t>
  </si>
  <si>
    <t>Note 17: Cash &amp; Cash equivalents</t>
  </si>
  <si>
    <t>Balances at bank</t>
  </si>
  <si>
    <t>Cash on hand</t>
  </si>
  <si>
    <t>Note 18: Short Term Loans &amp; Advances</t>
  </si>
  <si>
    <t>Unsecured, considered good</t>
  </si>
  <si>
    <t>Note 18.1 - Details of Short Term Loans &amp; Advances:-</t>
  </si>
  <si>
    <t xml:space="preserve">     Employee loans and advances</t>
  </si>
  <si>
    <t>Note 19: Other Current Assets</t>
  </si>
  <si>
    <t xml:space="preserve">Recoverables from Employees </t>
  </si>
  <si>
    <t xml:space="preserve">Tax claims </t>
  </si>
  <si>
    <t>Rent Receivable</t>
  </si>
  <si>
    <t>Claims receivable</t>
  </si>
  <si>
    <t>Deposit paid by Mahagenco to Related Party</t>
  </si>
  <si>
    <t>Stock of Energy Saving Certificates</t>
  </si>
  <si>
    <t>Recoverable from Contractors, Deposits paid by Mahagenco</t>
  </si>
  <si>
    <t>Sub Total</t>
  </si>
  <si>
    <t>Prepaid Expenses</t>
  </si>
  <si>
    <t>Advances for O &amp; M supplies / works</t>
  </si>
  <si>
    <t>Credit Impaired</t>
  </si>
  <si>
    <t>Less:- Allowance for Expected Credit Loss</t>
  </si>
  <si>
    <t>Other asset</t>
  </si>
  <si>
    <t xml:space="preserve">    Assets classified as held for sale / disposal</t>
  </si>
  <si>
    <t>Note 20: Revenue from Operations</t>
  </si>
  <si>
    <t>Sale of power</t>
  </si>
  <si>
    <t xml:space="preserve"> Fuel Adjustment Charges</t>
  </si>
  <si>
    <t>Miscellaneous Operating Income</t>
  </si>
  <si>
    <t>Rejected Coal</t>
  </si>
  <si>
    <t>Gain on sale of Fixed assets</t>
  </si>
  <si>
    <t>IPP Sale of Coal</t>
  </si>
  <si>
    <t xml:space="preserve"> Sale of Fly Ash</t>
  </si>
  <si>
    <t>Less:- Transferred to Fly Ash Liability</t>
  </si>
  <si>
    <t>Note 21: Other Income</t>
  </si>
  <si>
    <t>Interest Income</t>
  </si>
  <si>
    <t>Other Non-operating income</t>
  </si>
  <si>
    <t>Late payment surcharge</t>
  </si>
  <si>
    <t>Income from rent, hire charges etc.</t>
  </si>
  <si>
    <t>Profit on sale of assets/stores/scrap</t>
  </si>
  <si>
    <t>Sale of tender forms</t>
  </si>
  <si>
    <t>Sundry Credit balance write Back</t>
  </si>
  <si>
    <t>Other receipts</t>
  </si>
  <si>
    <t>Note 21.1: Non-Tariff Income</t>
  </si>
  <si>
    <t>Note 21.2: Others</t>
  </si>
  <si>
    <t>Note 22: Cost of Material Consumed/Fuel Cost</t>
  </si>
  <si>
    <t>Coal</t>
  </si>
  <si>
    <t>IPP Purchase of coal</t>
  </si>
  <si>
    <t xml:space="preserve">Gas </t>
  </si>
  <si>
    <t xml:space="preserve">Oil </t>
  </si>
  <si>
    <t>Water</t>
  </si>
  <si>
    <t>Note 22.1: Cost of Power Purchase</t>
  </si>
  <si>
    <t>IPP Purchase of Power</t>
  </si>
  <si>
    <t>Note 23: Employee benefits expenses</t>
  </si>
  <si>
    <t>Salaries</t>
  </si>
  <si>
    <t>Overtime</t>
  </si>
  <si>
    <t>Dearness Allowance</t>
  </si>
  <si>
    <t>Other Allowances</t>
  </si>
  <si>
    <t>Bonus</t>
  </si>
  <si>
    <t>Total (A)</t>
  </si>
  <si>
    <t>Medical expenses reimbursement</t>
  </si>
  <si>
    <t>Leave Travel Assistance/Concession</t>
  </si>
  <si>
    <t>Payment under Workmen Compensation Act</t>
  </si>
  <si>
    <t>Total (B)</t>
  </si>
  <si>
    <t>Staff Welfare Expenses</t>
  </si>
  <si>
    <t>Electricity Concession to Employees</t>
  </si>
  <si>
    <t>Total (C)</t>
  </si>
  <si>
    <t>Terminal Benefits</t>
  </si>
  <si>
    <t>Remeasurements of the defined benefit plans</t>
  </si>
  <si>
    <t>Total (D)</t>
  </si>
  <si>
    <t>Grand Total(A+B+C+D)</t>
  </si>
  <si>
    <t>Less :</t>
  </si>
  <si>
    <t>Add : Prior period expenses/losses</t>
  </si>
  <si>
    <t>Note 24: Finance Costs</t>
  </si>
  <si>
    <t>Interest on Loans</t>
  </si>
  <si>
    <t>Exchange difference regarded as an adjustment to borrowing cost</t>
  </si>
  <si>
    <t xml:space="preserve">Other borrowing costs </t>
  </si>
  <si>
    <t>Less:- Interest Capitalised</t>
  </si>
  <si>
    <t>Other interest &amp; finance charges</t>
  </si>
  <si>
    <t>Note 25: Depreciation &amp; Amortization Expenses</t>
  </si>
  <si>
    <t>Depreciation on :</t>
  </si>
  <si>
    <t>Civil Works</t>
  </si>
  <si>
    <t>Plant &amp; Machinery</t>
  </si>
  <si>
    <t>Lines &amp; Cables</t>
  </si>
  <si>
    <t>Lease hold land</t>
  </si>
  <si>
    <t>Less:- Capitalised</t>
  </si>
  <si>
    <t>Right to use asset</t>
  </si>
  <si>
    <t>Intangible Asset</t>
  </si>
  <si>
    <t>Note 26: Repair &amp; Maintenance</t>
  </si>
  <si>
    <t>Repair &amp; Maintenance - Others</t>
  </si>
  <si>
    <t>Less</t>
  </si>
  <si>
    <t>Note 27.1: Administration &amp; General Expenses</t>
  </si>
  <si>
    <t>Rent, Rates &amp; Taxes</t>
  </si>
  <si>
    <t>Insurance</t>
  </si>
  <si>
    <t xml:space="preserve">Telephone, Postage, Telegramme and Telex </t>
  </si>
  <si>
    <t>Legal Charges</t>
  </si>
  <si>
    <t>Audit Fees</t>
  </si>
  <si>
    <t>Lubricants, consumables &amp; stores</t>
  </si>
  <si>
    <t>Obsolescence of Stores</t>
  </si>
  <si>
    <t>Domestic Water</t>
  </si>
  <si>
    <t>Commission to agents</t>
  </si>
  <si>
    <t>Other Bank Charges</t>
  </si>
  <si>
    <t>Contribution towards assets not owned by Company / CSR expenditure</t>
  </si>
  <si>
    <t>Provision for doubtful advances</t>
  </si>
  <si>
    <t xml:space="preserve">Security measures for safety and protection </t>
  </si>
  <si>
    <t xml:space="preserve">Expenditure on hire charges of Taxi / Vehicle for </t>
  </si>
  <si>
    <t>Ash utilisation expenditure</t>
  </si>
  <si>
    <t>Loss on obsolescence of Fixed Assets</t>
  </si>
  <si>
    <t>Loss on foreign exchange variance (Net )</t>
  </si>
  <si>
    <t>Hydro Lease Rent</t>
  </si>
  <si>
    <t>Deviation Settlement Mechanism (DSM) Charges</t>
  </si>
  <si>
    <t xml:space="preserve">Other general expenses </t>
  </si>
  <si>
    <t xml:space="preserve">Upkeep of office                                  </t>
  </si>
  <si>
    <t xml:space="preserve">Less:  </t>
  </si>
  <si>
    <t>Total (i+ii)</t>
  </si>
  <si>
    <t>Add: Prior Period expenses/losses</t>
  </si>
  <si>
    <t>Note 27.2 - Administration &amp; General Expenses - Details of remuneration to Statutory Auditors (excluding Service Tax)</t>
  </si>
  <si>
    <t>As an Auditor</t>
  </si>
  <si>
    <t>i)</t>
  </si>
  <si>
    <t xml:space="preserve">Tax Audit Fee </t>
  </si>
  <si>
    <t>ii)</t>
  </si>
  <si>
    <t xml:space="preserve">Statutory Audit Fees </t>
  </si>
  <si>
    <t>iii)</t>
  </si>
  <si>
    <t xml:space="preserve">Out of Pocket Expenses </t>
  </si>
  <si>
    <t>Note 28: Other Debits</t>
  </si>
  <si>
    <t>Amounts provided for</t>
  </si>
  <si>
    <t>Difference in value of stock &amp; spares</t>
  </si>
  <si>
    <t xml:space="preserve">Value of obsolete stores </t>
  </si>
  <si>
    <t xml:space="preserve">Value of unserviceable stores </t>
  </si>
  <si>
    <t>Bad &amp; doubtful debts</t>
  </si>
  <si>
    <t>Losses under investigation</t>
  </si>
  <si>
    <t xml:space="preserve">Loss on sale of fixed assets </t>
  </si>
  <si>
    <t>Miscellaneous losses &amp; write off</t>
  </si>
  <si>
    <t>Note 29: Tax Expense - Income Tax/Deferred Tax</t>
  </si>
  <si>
    <t>Non OCI Deferred tax gain</t>
  </si>
  <si>
    <t>OCI Deferred tax gain</t>
  </si>
  <si>
    <t>Current tax on P&amp;L Items</t>
  </si>
  <si>
    <t>Note 30: Prior Period Items</t>
  </si>
  <si>
    <t>Expenditure</t>
  </si>
  <si>
    <t>Receipt</t>
  </si>
  <si>
    <t>(Net Income)/ Expenditure</t>
  </si>
  <si>
    <t>Employee cost</t>
  </si>
  <si>
    <t>Finance cost</t>
  </si>
  <si>
    <t>Depreciation cost</t>
  </si>
  <si>
    <t>Repair &amp; Maintenance cost</t>
  </si>
  <si>
    <t>A&amp;G cost</t>
  </si>
  <si>
    <t>MAHARASHTRA STATE POWER GENERATION COMPANY LIMITED [CIN -U40100MH2005SGC153648]</t>
  </si>
  <si>
    <t xml:space="preserve">           </t>
  </si>
  <si>
    <r>
      <t xml:space="preserve"> Balance Sheet as on 31</t>
    </r>
    <r>
      <rPr>
        <b/>
        <vertAlign val="superscript"/>
        <sz val="10"/>
        <rFont val="Arial"/>
        <family val="2"/>
      </rPr>
      <t xml:space="preserve">st </t>
    </r>
    <r>
      <rPr>
        <b/>
        <sz val="10"/>
        <rFont val="Arial"/>
        <family val="2"/>
      </rPr>
      <t>March 2023</t>
    </r>
  </si>
  <si>
    <t xml:space="preserve"> (Standalone)</t>
  </si>
  <si>
    <r>
      <t>(</t>
    </r>
    <r>
      <rPr>
        <sz val="11"/>
        <color indexed="8"/>
        <rFont val="Arial"/>
        <family val="2"/>
      </rPr>
      <t>Rs. Crores)</t>
    </r>
  </si>
  <si>
    <t>Notes</t>
  </si>
  <si>
    <t>01.04.2021</t>
  </si>
  <si>
    <t>ASSETS</t>
  </si>
  <si>
    <t>Non-Current Assets</t>
  </si>
  <si>
    <t xml:space="preserve">    Property, Plant &amp; Equipment</t>
  </si>
  <si>
    <t>Depreciation for the year</t>
  </si>
  <si>
    <t xml:space="preserve">    Capital work in progress</t>
  </si>
  <si>
    <t xml:space="preserve">    Right to use assets</t>
  </si>
  <si>
    <t>1A</t>
  </si>
  <si>
    <t xml:space="preserve">    Intangible assets</t>
  </si>
  <si>
    <t>1B</t>
  </si>
  <si>
    <t xml:space="preserve">    Intangible assets under development</t>
  </si>
  <si>
    <t xml:space="preserve">    Financial Assets</t>
  </si>
  <si>
    <t xml:space="preserve">        - Investment in subsidiaries and associates</t>
  </si>
  <si>
    <t xml:space="preserve">        - Bank Deposits with more than 12 months maturity</t>
  </si>
  <si>
    <t>3A</t>
  </si>
  <si>
    <t xml:space="preserve">        - Trade receivables  </t>
  </si>
  <si>
    <t xml:space="preserve">    Net Deferred tax Assets</t>
  </si>
  <si>
    <t xml:space="preserve">    Other non-current assets</t>
  </si>
  <si>
    <t>Rise on account of Deferred Lease Rent of Hydro Power Station by Rs. 62 Crores</t>
  </si>
  <si>
    <t xml:space="preserve">   Total Non Current Assets</t>
  </si>
  <si>
    <t xml:space="preserve">    Inventories</t>
  </si>
  <si>
    <t>Reduction in Coal Inventories by Rs. 450 Croresand Stores &amp; Spares by Rs. 45 Crores</t>
  </si>
  <si>
    <t xml:space="preserve">          - Trade receivables  </t>
  </si>
  <si>
    <t>Rise in Revenue</t>
  </si>
  <si>
    <t xml:space="preserve">          - Cash and cash equivalents</t>
  </si>
  <si>
    <t xml:space="preserve">          - Loans</t>
  </si>
  <si>
    <t>Receivable from CPF Trust has been reduced.</t>
  </si>
  <si>
    <t xml:space="preserve">          - Other financial assets</t>
  </si>
  <si>
    <t xml:space="preserve">    Other current assets</t>
  </si>
  <si>
    <t>Clearance of Advance to coal companies &amp; Railway against the oustanding Liabilities</t>
  </si>
  <si>
    <t xml:space="preserve">  Total Current Assets</t>
  </si>
  <si>
    <t>1C</t>
  </si>
  <si>
    <t>Vintage units Assets at Koradi TPS has been sold out</t>
  </si>
  <si>
    <t xml:space="preserve">  Total Other Assets</t>
  </si>
  <si>
    <t>TOTAL ASSETS</t>
  </si>
  <si>
    <t>EQUITY AND LIABILITIES</t>
  </si>
  <si>
    <t>Equity</t>
  </si>
  <si>
    <t xml:space="preserve">    Equity Share capital</t>
  </si>
  <si>
    <t>Equity allotment during the year</t>
  </si>
  <si>
    <t xml:space="preserve">    Other Equity</t>
  </si>
  <si>
    <t>Shares are issued during the year aginst the share application money pending allotment</t>
  </si>
  <si>
    <t>Total Equity attributable to Mahagenco</t>
  </si>
  <si>
    <t>Controlling interest other than Mahagenco</t>
  </si>
  <si>
    <t>Total Equity</t>
  </si>
  <si>
    <t>Liabilities</t>
  </si>
  <si>
    <t>Non Current Liabilities</t>
  </si>
  <si>
    <t xml:space="preserve">    Financial liabilities</t>
  </si>
  <si>
    <t xml:space="preserve">          - Borrowings</t>
  </si>
  <si>
    <t>Repayment of commissioned projects</t>
  </si>
  <si>
    <t xml:space="preserve">          - Lease liabilities</t>
  </si>
  <si>
    <t xml:space="preserve">    Provisions</t>
  </si>
  <si>
    <t xml:space="preserve">    Net Deferred tax liabilities</t>
  </si>
  <si>
    <t>Reduction on account of Deferred Tax Assets recognised on Investment allowance.</t>
  </si>
  <si>
    <t xml:space="preserve">    Other non-current liabilities</t>
  </si>
  <si>
    <t>Total Non Current Liabilities</t>
  </si>
  <si>
    <t>Short Term Loan has been repaid.</t>
  </si>
  <si>
    <t xml:space="preserve">          - Trade payables - MSME</t>
  </si>
  <si>
    <t xml:space="preserve">          - Trade payables - Other than MSME</t>
  </si>
  <si>
    <t xml:space="preserve">          - Other financial liabilities</t>
  </si>
  <si>
    <t>Partial Repayment for Long Term Loans of commissioned projects in previous year, now for the entire year.</t>
  </si>
  <si>
    <t xml:space="preserve">    Other current liabilities</t>
  </si>
  <si>
    <t>Rise in Provisions for Leave encahsment &amp; Gartuity as per Actuary.</t>
  </si>
  <si>
    <t>Total Current Liabilities</t>
  </si>
  <si>
    <t>TOTAL EQUITY AND LIABILITIES</t>
  </si>
  <si>
    <t>Significant accounting policies and  notes 1 to 50 form an integral part of these financial statements.</t>
  </si>
  <si>
    <t>As per our report attached</t>
  </si>
  <si>
    <t>For Shah and Taparia</t>
  </si>
  <si>
    <t>For Maharashtra State Power Generation Co. Ltd.</t>
  </si>
  <si>
    <t>Chartered Accountants</t>
  </si>
  <si>
    <t>(FRN  - 109463W )</t>
  </si>
  <si>
    <t>(CA Bharat Ramesh Joshi)</t>
  </si>
  <si>
    <t>Partner (ICAI M No. 130863)</t>
  </si>
  <si>
    <t>Balasaheb Thite</t>
  </si>
  <si>
    <t>Dr. P. Anabalgan</t>
  </si>
  <si>
    <t>Advances break up</t>
  </si>
  <si>
    <t>Director (Finance) &amp; CFO</t>
  </si>
  <si>
    <t>Chairman &amp; Managing Director</t>
  </si>
  <si>
    <t>Prov for BDD</t>
  </si>
  <si>
    <t>For Ummed Jain &amp; Co.</t>
  </si>
  <si>
    <t xml:space="preserve"> DIN No.08923676</t>
  </si>
  <si>
    <t>DIN No. 05117747</t>
  </si>
  <si>
    <t>Current - noncurrent</t>
  </si>
  <si>
    <t>OCI details</t>
  </si>
  <si>
    <t>(FRN  -119250W)</t>
  </si>
  <si>
    <t>Def Tax</t>
  </si>
  <si>
    <t>FA Schedule</t>
  </si>
  <si>
    <t>(CA Ritu Sanghi )</t>
  </si>
  <si>
    <t>Vijay Chitlange</t>
  </si>
  <si>
    <t>Rahul Dubey</t>
  </si>
  <si>
    <t>Prov for obs on FA</t>
  </si>
  <si>
    <t>Partner (ICAI M No. 425542 )</t>
  </si>
  <si>
    <t>Chief General Manager (A/c)</t>
  </si>
  <si>
    <t>Company Secretary</t>
  </si>
  <si>
    <t>MSME payable</t>
  </si>
  <si>
    <r>
      <t>Mumbai, 12</t>
    </r>
    <r>
      <rPr>
        <vertAlign val="superscript"/>
        <sz val="10"/>
        <rFont val="Arial"/>
        <family val="2"/>
      </rPr>
      <t xml:space="preserve">th </t>
    </r>
    <r>
      <rPr>
        <sz val="10"/>
        <rFont val="Arial"/>
        <family val="2"/>
      </rPr>
      <t>October, 2023</t>
    </r>
  </si>
  <si>
    <t>M No. A14213</t>
  </si>
  <si>
    <t>EPS Calulation</t>
  </si>
  <si>
    <r>
      <t>Statement of Profit and Loss for the year ended 31</t>
    </r>
    <r>
      <rPr>
        <b/>
        <vertAlign val="superscript"/>
        <sz val="10"/>
        <rFont val="Arial"/>
        <family val="2"/>
      </rPr>
      <t>st</t>
    </r>
    <r>
      <rPr>
        <b/>
        <sz val="10"/>
        <rFont val="Arial"/>
        <family val="2"/>
      </rPr>
      <t xml:space="preserve"> March, 2023</t>
    </r>
  </si>
  <si>
    <t>(Standalone)</t>
  </si>
  <si>
    <r>
      <t>(</t>
    </r>
    <r>
      <rPr>
        <sz val="11"/>
        <rFont val="Arial"/>
        <family val="2"/>
      </rPr>
      <t>Rs. Crores)</t>
    </r>
  </si>
  <si>
    <t>2022-23</t>
  </si>
  <si>
    <t>2021-22</t>
  </si>
  <si>
    <t>Income</t>
  </si>
  <si>
    <t xml:space="preserve">    Sale of power </t>
  </si>
  <si>
    <t>Net Generation  53991 MUs (PY 50172 Mus)</t>
  </si>
  <si>
    <t xml:space="preserve">    Other operating revenues</t>
  </si>
  <si>
    <t>Surcharge reduction, Reject Coal Rs. 43 Crs., IPP coal sale Rs. 181 Crs</t>
  </si>
  <si>
    <t>Koradi scrap 62, DSM 48, LD 52, Reduction in obsol 54</t>
  </si>
  <si>
    <t>Total Income</t>
  </si>
  <si>
    <t>Cost of materials consumed/ Electicity Purchased</t>
  </si>
  <si>
    <t xml:space="preserve">Generation up, washed coal handling 490,oil 192,  gas 74, </t>
  </si>
  <si>
    <t>Employee benefits expense</t>
  </si>
  <si>
    <t>Salary 90(DA rise 12%), Grat &amp; LE 80, PF contribution 52</t>
  </si>
  <si>
    <t xml:space="preserve">Interest on LTL reduced 316, on STL 205 increased </t>
  </si>
  <si>
    <t>Depreciation &amp; amortization expense</t>
  </si>
  <si>
    <t>1,1A &amp;1B</t>
  </si>
  <si>
    <t>Railway LHS Kpkd Rs. 28 crs, CSTPS civil assets Rs. 17 Crs.</t>
  </si>
  <si>
    <t>Provision against MSEDCL receivables 11,222 &amp; R&amp;M+admin</t>
  </si>
  <si>
    <t>Total Expenses</t>
  </si>
  <si>
    <t>Profit before share of profit of associates, exceptional item and tax</t>
  </si>
  <si>
    <t>Share of profit in associates</t>
  </si>
  <si>
    <t>Profit before exceptional item and tax</t>
  </si>
  <si>
    <t>Exceptional item</t>
  </si>
  <si>
    <t>Profit/(loss) Before Tax</t>
  </si>
  <si>
    <t>Tax expense:</t>
  </si>
  <si>
    <t>Current tax on OCI Items</t>
  </si>
  <si>
    <t>Deferred tax Expense/(Gain)</t>
  </si>
  <si>
    <t>Total Tax Expenses</t>
  </si>
  <si>
    <t>Profit/(loss) for the period</t>
  </si>
  <si>
    <t>Other Comprehensive Income</t>
  </si>
  <si>
    <t>Items that will not be reclassified to profit or loss:</t>
  </si>
  <si>
    <t xml:space="preserve">    Remeasurements of the defined benefit plans</t>
  </si>
  <si>
    <t xml:space="preserve">    Deferred Tax expense on OCI items Expense/(Gain)</t>
  </si>
  <si>
    <t>Other Comprehensive Income for the period (net of tax)</t>
  </si>
  <si>
    <t>Total Comprehensive Income for the period, net of tax</t>
  </si>
  <si>
    <t>DTL diff</t>
  </si>
  <si>
    <t>Attributable to:</t>
  </si>
  <si>
    <t>To be hide while printing Standalone Statements</t>
  </si>
  <si>
    <t>$</t>
  </si>
  <si>
    <t>Owners of the Company</t>
  </si>
  <si>
    <t>Non-controlling interests</t>
  </si>
  <si>
    <t>Profit for the year</t>
  </si>
  <si>
    <t>Other comprehensive income Attributable to:</t>
  </si>
  <si>
    <t>Other comprehensive income</t>
  </si>
  <si>
    <t>Total comprehensive income Attributable to:</t>
  </si>
  <si>
    <t>Total comprehensive income</t>
  </si>
  <si>
    <t>Earning per share [Basic] (Rs. 10 per Share)</t>
  </si>
  <si>
    <t>Earning per share [Diluted ] (Rs.10 per share)</t>
  </si>
  <si>
    <t>PBT</t>
  </si>
  <si>
    <t>Tax</t>
  </si>
  <si>
    <t>Tally?</t>
  </si>
  <si>
    <r>
      <t>Notes to the Financial Statements as at 31</t>
    </r>
    <r>
      <rPr>
        <b/>
        <vertAlign val="superscript"/>
        <sz val="12"/>
        <color indexed="8"/>
        <rFont val="Arial"/>
        <family val="2"/>
      </rPr>
      <t>st</t>
    </r>
    <r>
      <rPr>
        <b/>
        <sz val="12"/>
        <color indexed="8"/>
        <rFont val="Arial"/>
        <family val="2"/>
      </rPr>
      <t xml:space="preserve"> March, 2023</t>
    </r>
  </si>
  <si>
    <t xml:space="preserve"> (Rs. Crores)</t>
  </si>
  <si>
    <t>(Rs. Crores)</t>
  </si>
  <si>
    <t>Non-Current, Long Term, Investment in Subsidiaries, Joint Ventures and Associates</t>
  </si>
  <si>
    <t>Investments in equity instruments at  cost less impairment</t>
  </si>
  <si>
    <t>Un - Quoted</t>
  </si>
  <si>
    <t>MAHAGENCO Renewable Energy LTD (formerly Mahagenco ASH Management Services LTD)</t>
  </si>
  <si>
    <t>50,000 (P.Y. 50,000) Equity shares  of Rs 10 each fully paid up</t>
  </si>
  <si>
    <t>Dhopave coastal power company limited</t>
  </si>
  <si>
    <t>50,000 (P.Y. 50,000) Equity shares of Rs 10 each fully paid up</t>
  </si>
  <si>
    <t>UCM coal company limited</t>
  </si>
  <si>
    <t>30,000 (P.Y. 30,000) Equity shares of Rs 10 each fully paid up</t>
  </si>
  <si>
    <t>Mahaguj colliery limited</t>
  </si>
  <si>
    <t>30,000(P.Y. 30,000) Equity shares of Rs 10 each fully paid up</t>
  </si>
  <si>
    <t>Chhattisgarh Katghoara Dongargarh Railway Limited</t>
  </si>
  <si>
    <t>5,20,000 Equity shares of Rs 10 each fully paid up</t>
  </si>
  <si>
    <t>Quasi Equity investment in subsidiaries (Refer Note 32 , 37 and 38)</t>
  </si>
  <si>
    <t>Less : Allowance for Expected Credit Loss &amp; impairment in the value of investment</t>
  </si>
  <si>
    <t>Non Current Assets-Bank Deposits with more than 12 months maturity</t>
  </si>
  <si>
    <t>3B</t>
  </si>
  <si>
    <t>Non Current Assets-Trade Receivables</t>
  </si>
  <si>
    <t>Trade Receivables</t>
  </si>
  <si>
    <t>Other Non-Current Assets</t>
  </si>
  <si>
    <t>Advances for O&amp;M Supplies/ recoverables</t>
  </si>
  <si>
    <t>Advance to Irrigation Department Government of Maharashtra</t>
  </si>
  <si>
    <t>Income Tax Refundable (net of provisions)</t>
  </si>
  <si>
    <t>Expenditure to be amortised</t>
  </si>
  <si>
    <t>Capital advances</t>
  </si>
  <si>
    <t>Tax claims</t>
  </si>
  <si>
    <t>Current Assets-Inventories</t>
  </si>
  <si>
    <t>Raw materials (Coal)</t>
  </si>
  <si>
    <t>Fuel Oil, LDO etc</t>
  </si>
  <si>
    <t>Stock-in-transit (Coal &amp; Oil)</t>
  </si>
  <si>
    <t>Stores and spares</t>
  </si>
  <si>
    <t>Stock Of Water</t>
  </si>
  <si>
    <t>Less : Provision for Obsolescence of stores and spares</t>
  </si>
  <si>
    <t>Less : Provision for material shortage pending investigation</t>
  </si>
  <si>
    <t/>
  </si>
  <si>
    <t xml:space="preserve">Current Assets - Trade Receivables </t>
  </si>
  <si>
    <t>Unsecured considered good;</t>
  </si>
  <si>
    <t>Less: Allowance for Expected Credit Loss</t>
  </si>
  <si>
    <t>(Refer Note 43(A) for LPS and Unbilled Receivables)</t>
  </si>
  <si>
    <t>Current Assets-Cash and Cash Equivalents</t>
  </si>
  <si>
    <t>Balances with Scheduled Banks:</t>
  </si>
  <si>
    <t>- on Current Accounts</t>
  </si>
  <si>
    <t>Cash Equivalents</t>
  </si>
  <si>
    <t>Cash on Hand</t>
  </si>
  <si>
    <t>Current Assets-Current Loans</t>
  </si>
  <si>
    <t xml:space="preserve">     Receivable from CPF Trust</t>
  </si>
  <si>
    <t xml:space="preserve">     Other  Advances </t>
  </si>
  <si>
    <t>Other Current Financial Assets</t>
  </si>
  <si>
    <t xml:space="preserve">    Unsecured, considered good</t>
  </si>
  <si>
    <t>Recoverable from Contractors</t>
  </si>
  <si>
    <t>Current Assets-Other Assets</t>
  </si>
  <si>
    <t>Other Equity- Reserves and Surplus</t>
  </si>
  <si>
    <t xml:space="preserve">     (a) Retained Earnings</t>
  </si>
  <si>
    <t xml:space="preserve">     As per last Balance Sheet</t>
  </si>
  <si>
    <t xml:space="preserve">     Add  : Profit/(loss) for the year</t>
  </si>
  <si>
    <t xml:space="preserve">     Add  : Profit/(loss) for the year attributable to Parent owner</t>
  </si>
  <si>
    <t xml:space="preserve">     Add  : Profit/(loss) for the year attributable to Non-controlling Interest</t>
  </si>
  <si>
    <t xml:space="preserve">     (b): Other Reserves</t>
  </si>
  <si>
    <t>Share Application Money Pending Allotment</t>
  </si>
  <si>
    <t>Other Equity Attributable to Parent Owner</t>
  </si>
  <si>
    <t>Other Equity Attributable to Non-controlling Interest</t>
  </si>
  <si>
    <t>Grand Total</t>
  </si>
  <si>
    <t>Non Current Borrowings</t>
  </si>
  <si>
    <t>Term loans</t>
  </si>
  <si>
    <t>Secured</t>
  </si>
  <si>
    <t>Term Loan From Financial Institutions</t>
  </si>
  <si>
    <t>Term Loan From Banks</t>
  </si>
  <si>
    <t>Un - secured</t>
  </si>
  <si>
    <t>Term Loan From Others</t>
  </si>
  <si>
    <t xml:space="preserve">Loan from World Bank </t>
  </si>
  <si>
    <t>Loan from CSSEPL</t>
  </si>
  <si>
    <t>Loan from KFW</t>
  </si>
  <si>
    <t>(Refer Annexure A-Long term Borrowing for details)</t>
  </si>
  <si>
    <t>13A</t>
  </si>
  <si>
    <t>Non Current Lease Liabilities</t>
  </si>
  <si>
    <t>Lease Liability-Ind AS 116</t>
  </si>
  <si>
    <t>Non Current Provisions</t>
  </si>
  <si>
    <t>Provision for Leave Encashment</t>
  </si>
  <si>
    <t>Other Non-Current Liabilities</t>
  </si>
  <si>
    <t>Deferred Grant-Govt of Maharashtra</t>
  </si>
  <si>
    <t>GOM -Central Financial Assistance</t>
  </si>
  <si>
    <t xml:space="preserve">       Retentions &amp; Payables</t>
  </si>
  <si>
    <t>Current Borrowings</t>
  </si>
  <si>
    <t xml:space="preserve">       Loans repayable on demand</t>
  </si>
  <si>
    <t xml:space="preserve">       Secured</t>
  </si>
  <si>
    <t xml:space="preserve">       from banks</t>
  </si>
  <si>
    <t xml:space="preserve">            Cash Credit</t>
  </si>
  <si>
    <t xml:space="preserve">            Working Capital</t>
  </si>
  <si>
    <t>Current maturities of Long Term Borrowings</t>
  </si>
  <si>
    <t xml:space="preserve">    Unsecured</t>
  </si>
  <si>
    <t xml:space="preserve">            Other Short Term Loans</t>
  </si>
  <si>
    <t>(Refer Annexure B-Short term Borrowing for details)</t>
  </si>
  <si>
    <t>17A</t>
  </si>
  <si>
    <t>Current Lease Liabilities</t>
  </si>
  <si>
    <t>Current Trade Payables</t>
  </si>
  <si>
    <t>Micro, Small and Medium Enterprises (MSME)</t>
  </si>
  <si>
    <t>Other than MSME</t>
  </si>
  <si>
    <t>Other Current Financial Liabilities</t>
  </si>
  <si>
    <t xml:space="preserve">       Other Deposits</t>
  </si>
  <si>
    <t xml:space="preserve">Interest accrued but not due </t>
  </si>
  <si>
    <t>Payables for Capital goods</t>
  </si>
  <si>
    <t>Related Party Payables</t>
  </si>
  <si>
    <t>Provision for Fly ash utilisation Fund</t>
  </si>
  <si>
    <t>Payable to employees</t>
  </si>
  <si>
    <t xml:space="preserve"> Capital Grant</t>
  </si>
  <si>
    <t>Statutory Dues</t>
  </si>
  <si>
    <t>Current Provisions</t>
  </si>
  <si>
    <r>
      <t>Notes to the Financial Statements for the year ended 31</t>
    </r>
    <r>
      <rPr>
        <b/>
        <vertAlign val="superscript"/>
        <sz val="12"/>
        <rFont val="Arial"/>
        <family val="2"/>
      </rPr>
      <t>st</t>
    </r>
    <r>
      <rPr>
        <b/>
        <sz val="12"/>
        <rFont val="Arial"/>
        <family val="2"/>
      </rPr>
      <t xml:space="preserve"> March, 2023</t>
    </r>
  </si>
  <si>
    <r>
      <t>(</t>
    </r>
    <r>
      <rPr>
        <b/>
        <sz val="11"/>
        <rFont val="Arial"/>
        <family val="2"/>
      </rPr>
      <t>Rs. Crores)</t>
    </r>
  </si>
  <si>
    <t>Sale of Products</t>
  </si>
  <si>
    <t>Sale of Power</t>
  </si>
  <si>
    <t>Other Operating Revenues</t>
  </si>
  <si>
    <t>Sale of Fly Ash</t>
  </si>
  <si>
    <t>Other Income</t>
  </si>
  <si>
    <t xml:space="preserve">  Interest Income on Financial Assets carried at amortized cost:</t>
  </si>
  <si>
    <t>Interest income</t>
  </si>
  <si>
    <t xml:space="preserve">      On Staff Loans</t>
  </si>
  <si>
    <t xml:space="preserve">      On Customers' Accounts</t>
  </si>
  <si>
    <t>Late payment surcharge (Refer Note No.43(A))</t>
  </si>
  <si>
    <t>Profit on sale of stores/scrap</t>
  </si>
  <si>
    <t>Total Other Income</t>
  </si>
  <si>
    <t>24A</t>
  </si>
  <si>
    <t>Share of Profit in Associates &amp; joint Ventures</t>
  </si>
  <si>
    <t>Cost of Materials Consumed</t>
  </si>
  <si>
    <t>Employee Benefits Expense</t>
  </si>
  <si>
    <t>Salaries, Wages, Bonus, etc.</t>
  </si>
  <si>
    <t xml:space="preserve">Contribution to Provident Fund </t>
  </si>
  <si>
    <t>Gratuity, Leave Encashment  and Other Employee Benefits</t>
  </si>
  <si>
    <t>Employee Welfare Expenses</t>
  </si>
  <si>
    <t>26A</t>
  </si>
  <si>
    <t>Employee Benefits Expense under OCI</t>
  </si>
  <si>
    <t>Interest</t>
  </si>
  <si>
    <t>Other Expenses</t>
  </si>
  <si>
    <t>Rent</t>
  </si>
  <si>
    <t>Hydro Lease rent</t>
  </si>
  <si>
    <r>
      <t xml:space="preserve">       </t>
    </r>
    <r>
      <rPr>
        <b/>
        <u/>
        <sz val="11"/>
        <color indexed="8"/>
        <rFont val="Arial"/>
        <family val="2"/>
      </rPr>
      <t>Repairs and Maintenance on:-</t>
    </r>
  </si>
  <si>
    <t xml:space="preserve">     - Plant &amp; machinery &amp; Building</t>
  </si>
  <si>
    <t xml:space="preserve">     - Repair &amp; Maintenance - Others</t>
  </si>
  <si>
    <t>Insurance charges</t>
  </si>
  <si>
    <t>Rates and taxes</t>
  </si>
  <si>
    <t>Domestic water</t>
  </si>
  <si>
    <t>Legal and professional charges</t>
  </si>
  <si>
    <t>Bank charges</t>
  </si>
  <si>
    <t>CSR expenditure</t>
  </si>
  <si>
    <t xml:space="preserve"> Allowance for Expected Credit Loss</t>
  </si>
  <si>
    <t>Other general expenses</t>
  </si>
  <si>
    <t>Prior Period (Expenses-Income)</t>
  </si>
  <si>
    <r>
      <t xml:space="preserve">       </t>
    </r>
    <r>
      <rPr>
        <b/>
        <u/>
        <sz val="11"/>
        <color indexed="8"/>
        <rFont val="Arial"/>
        <family val="2"/>
      </rPr>
      <t>Payments to the auditors for:</t>
    </r>
  </si>
  <si>
    <t xml:space="preserve">            - Audit fees </t>
  </si>
  <si>
    <t xml:space="preserve">            - Other services</t>
  </si>
  <si>
    <t xml:space="preserve">            - Reimbursement of expenses</t>
  </si>
  <si>
    <t xml:space="preserve">            - Reimbursement of  tax</t>
  </si>
  <si>
    <t>28A</t>
  </si>
  <si>
    <t>Deferred Tax Expenses</t>
  </si>
  <si>
    <t>Non OCI Defered Tax gain /(Expenditure)</t>
  </si>
  <si>
    <t>OCI Items Defered Tax gain /(Expenditure)</t>
  </si>
  <si>
    <t>EPS Calculation:</t>
  </si>
  <si>
    <t>Basic EPS:</t>
  </si>
  <si>
    <t>Weighted avg no. of shares outstanding</t>
  </si>
  <si>
    <t>Earnings per share</t>
  </si>
  <si>
    <t>Diluted EPS:</t>
  </si>
  <si>
    <t>No. of shares</t>
  </si>
  <si>
    <t>o/s for</t>
  </si>
  <si>
    <t>w. avg</t>
  </si>
  <si>
    <t>Weighted Average no of shares</t>
  </si>
  <si>
    <t>Note No: 50  Ratio Analysis</t>
  </si>
  <si>
    <t>Sr No</t>
  </si>
  <si>
    <t>% variation</t>
  </si>
  <si>
    <t>Reason for Variance
more than 25%</t>
  </si>
  <si>
    <t>Current Assets (A)</t>
  </si>
  <si>
    <t>Current Liabilities (B)</t>
  </si>
  <si>
    <t>Current Ratio (A)/(B)</t>
  </si>
  <si>
    <t xml:space="preserve">Debt </t>
  </si>
  <si>
    <t>Debt Equity Ratio</t>
  </si>
  <si>
    <t>Earning of the Company have been turned out to be positive in comparision with previous year mainly due to increase in Surcharge by Rs.2841 crores</t>
  </si>
  <si>
    <t>EBDITA (A)</t>
  </si>
  <si>
    <t>Repayment +Interest (B)</t>
  </si>
  <si>
    <t>Debt Service Coverage Ratio (A/B)</t>
  </si>
  <si>
    <t xml:space="preserve">Loss after tax of the company have been decreased in comparision with previous year mainly due to Increase in Late payment Surcharge by Rs 2841 crs.
</t>
  </si>
  <si>
    <t>Profit After Tax (A)</t>
  </si>
  <si>
    <t>Equity (B)</t>
  </si>
  <si>
    <t>Return on Equity (A/B)</t>
  </si>
  <si>
    <t>Cost of Goods Sold (A)</t>
  </si>
  <si>
    <t>Inventory (B)</t>
  </si>
  <si>
    <t>Inventory Turnover Ratio (A/B)</t>
  </si>
  <si>
    <t>Turnover (A)</t>
  </si>
  <si>
    <t>Trade Receivables (B)</t>
  </si>
  <si>
    <t>Trade Receivables Turnover Ratio (A/B)</t>
  </si>
  <si>
    <t>Trade Payables (B)</t>
  </si>
  <si>
    <t>Trade Payables Turnover Ratio (A/B)</t>
  </si>
  <si>
    <t xml:space="preserve">Improvement is on account of increase in turnover.  Turnover is increased on account of increase in Generation </t>
  </si>
  <si>
    <t>Net Capital (B)</t>
  </si>
  <si>
    <t>Net Capital Turnover Ratio(A/B)</t>
  </si>
  <si>
    <t>Improvement is on account of increase in turnover and increase in Surchage billing in the current year as compared to last year.</t>
  </si>
  <si>
    <t>Turnover (B)</t>
  </si>
  <si>
    <t>Net Profit Ratio (A/B)</t>
  </si>
  <si>
    <t>EBIT (A)</t>
  </si>
  <si>
    <t>Capital Employed (B) i.e. Total Assets minus current liabilities</t>
  </si>
  <si>
    <t>Return on Capital Employed (A/B)</t>
  </si>
  <si>
    <t>Investment (B) i.e. Total Equity+Long Term Borrowings</t>
  </si>
  <si>
    <t>Return on Investment (A/B)</t>
  </si>
  <si>
    <t>MAHAGENCO Balance Sheet Grouping</t>
  </si>
  <si>
    <t>GL</t>
  </si>
  <si>
    <t>Note 1</t>
  </si>
  <si>
    <t>Tangible Gross Block</t>
  </si>
  <si>
    <t xml:space="preserve">Freehold Land                                     </t>
  </si>
  <si>
    <t xml:space="preserve">Leasehold Land                                    </t>
  </si>
  <si>
    <t xml:space="preserve">Factory Buildings                                 </t>
  </si>
  <si>
    <t xml:space="preserve">Other Buildings                                   </t>
  </si>
  <si>
    <t xml:space="preserve">Hydraulic Works                                   </t>
  </si>
  <si>
    <t xml:space="preserve">Civil works-Railway sidings                       </t>
  </si>
  <si>
    <t xml:space="preserve">Civil works-Roads &amp; Others                        </t>
  </si>
  <si>
    <t xml:space="preserve">Plant &amp; Machinery                                 </t>
  </si>
  <si>
    <t>Overhaul of units P &amp; M</t>
  </si>
  <si>
    <t>Fly Ash Utilisation Fund</t>
  </si>
  <si>
    <t xml:space="preserve">Lines Cables and Network                          </t>
  </si>
  <si>
    <t xml:space="preserve">Vehicles                                          </t>
  </si>
  <si>
    <t xml:space="preserve">Furniture &amp; Fixtures                              </t>
  </si>
  <si>
    <t xml:space="preserve">Office Equipment                                  </t>
  </si>
  <si>
    <t xml:space="preserve">Cap Exp resulting in Assets not belonging to company        </t>
  </si>
  <si>
    <t>Leased Assets</t>
  </si>
  <si>
    <t>Asset Contra Account</t>
  </si>
  <si>
    <t>Accumulated Depreciation</t>
  </si>
  <si>
    <t xml:space="preserve">Amortization - Leasehold land                     </t>
  </si>
  <si>
    <t xml:space="preserve">Accum Depre - Factory Buildings                   </t>
  </si>
  <si>
    <t xml:space="preserve">Accum Depre - Other Buildings                     </t>
  </si>
  <si>
    <t xml:space="preserve">Accum Depre - Hydraulic works                     </t>
  </si>
  <si>
    <t xml:space="preserve">Accum Depre - Railway Sidings                     </t>
  </si>
  <si>
    <t xml:space="preserve">Accum Depre - Roads &amp; Others                      </t>
  </si>
  <si>
    <t xml:space="preserve">Accum Depre - Plant &amp; Machinary                   </t>
  </si>
  <si>
    <t>Accum Depre - Overhaul of Unit P &amp; M</t>
  </si>
  <si>
    <t xml:space="preserve">Accum Depre - Line cabels &amp; network               </t>
  </si>
  <si>
    <t xml:space="preserve">Accum Depre - Vehicles                            </t>
  </si>
  <si>
    <t xml:space="preserve">Accum Depre - Furniture &amp; Fixtures                </t>
  </si>
  <si>
    <t xml:space="preserve">Accum Depre - Office equipment                    </t>
  </si>
  <si>
    <t xml:space="preserve">AD-Not belonging to MAHAGENCO                     </t>
  </si>
  <si>
    <t>Accum Depre - Leased Assets</t>
  </si>
  <si>
    <t>Net Block (Tangible)</t>
  </si>
  <si>
    <t>Note 1A</t>
  </si>
  <si>
    <t>Right to Use of Assets</t>
  </si>
  <si>
    <t>Accu. Amort. for Right to Use Assets</t>
  </si>
  <si>
    <t>Net Block (RTU)</t>
  </si>
  <si>
    <t>Note 1B</t>
  </si>
  <si>
    <t>Intangible Assets</t>
  </si>
  <si>
    <t xml:space="preserve">Intangible asset                                  </t>
  </si>
  <si>
    <t xml:space="preserve">Accum-Intagible Assets                            </t>
  </si>
  <si>
    <t>Net Block (Intangible)</t>
  </si>
  <si>
    <t>Note 1C</t>
  </si>
  <si>
    <t>Asset Not In Use</t>
  </si>
  <si>
    <t>Asset Not In use Gross Block</t>
  </si>
  <si>
    <t>Cap Exp resulting in Assets not belong MG</t>
  </si>
  <si>
    <t>MG-A Not belong MG (ANIU)</t>
  </si>
  <si>
    <t>MG-Intangible Asset (ANIU)</t>
  </si>
  <si>
    <t>Asset Not in Use Accumulated Depn</t>
  </si>
  <si>
    <t>Accum-Intagible Assets</t>
  </si>
  <si>
    <t>Net Block of Asset Not In Use</t>
  </si>
  <si>
    <t>Note 2</t>
  </si>
  <si>
    <t xml:space="preserve"> Capital WIP</t>
  </si>
  <si>
    <t>Tangible Capital WIP</t>
  </si>
  <si>
    <t xml:space="preserve">AuC-No investt measure                            </t>
  </si>
  <si>
    <t xml:space="preserve">CWIP - Freehold Land                              </t>
  </si>
  <si>
    <t xml:space="preserve">CWIP - Leasehold Land                             </t>
  </si>
  <si>
    <t xml:space="preserve">CWIP - Factory Buildings                          </t>
  </si>
  <si>
    <t xml:space="preserve">CWIP - Other Buildings                            </t>
  </si>
  <si>
    <t xml:space="preserve">CWIP -  Hydraulic works                           </t>
  </si>
  <si>
    <t xml:space="preserve">CWIP - Railway Sidings                            </t>
  </si>
  <si>
    <t xml:space="preserve">CWIP - Roads &amp; Others                             </t>
  </si>
  <si>
    <t xml:space="preserve">CWIP - Plant &amp; Machinary                          </t>
  </si>
  <si>
    <t>CWIP - AOH Plant &amp; Machinary</t>
  </si>
  <si>
    <t xml:space="preserve">CWIP -  Line cabels &amp; network                     </t>
  </si>
  <si>
    <t xml:space="preserve">CWIP -  Vehicles                                  </t>
  </si>
  <si>
    <t xml:space="preserve">CWIP -  Furniture &amp; Fixtures                      </t>
  </si>
  <si>
    <t xml:space="preserve">CWIP -  Office equipment                          </t>
  </si>
  <si>
    <t>Net Tangible Capital WIP</t>
  </si>
  <si>
    <t xml:space="preserve">CWIP - Intangible Assets                          </t>
  </si>
  <si>
    <t>Investments in subsidiaries/ associates</t>
  </si>
  <si>
    <t>Equity Investment in subsidiaries/ associates</t>
  </si>
  <si>
    <t>MAHAGENCO Ash Management Services Limited (formerly Dhule Power Limited)</t>
  </si>
  <si>
    <t>Dhopave Coastal Power Company Limited</t>
  </si>
  <si>
    <t>UCM Coal Co. Ltd</t>
  </si>
  <si>
    <t>Mahaguj Colliery Limited</t>
  </si>
  <si>
    <t>Equity shares-Latur Power</t>
  </si>
  <si>
    <t>Equity Share in CKDRL</t>
  </si>
  <si>
    <t>Shares in Kolhapur District Coop Bank</t>
  </si>
  <si>
    <t>Total A</t>
  </si>
  <si>
    <t>Quasi Equity Investment</t>
  </si>
  <si>
    <t>Mahagenco Ash Management Services Limited</t>
  </si>
  <si>
    <t>Dhopave Coastal Power Limited</t>
  </si>
  <si>
    <t>Loans-Koradi Power</t>
  </si>
  <si>
    <t>Loans-MSPG consultancy Ltd.</t>
  </si>
  <si>
    <t>UCM Coal Company.</t>
  </si>
  <si>
    <t>Mahaguj Colleries Limited</t>
  </si>
  <si>
    <t>Loans-Latur Power</t>
  </si>
  <si>
    <t>Total B</t>
  </si>
  <si>
    <t>Less:- Expected Credit Loss on Quasi Equity Investment</t>
  </si>
  <si>
    <t>Total C</t>
  </si>
  <si>
    <t>Less:- Expected Credit Loss on Equity investment</t>
  </si>
  <si>
    <t>Total D</t>
  </si>
  <si>
    <t>Total A+B-C-D</t>
  </si>
  <si>
    <t>Note 3A</t>
  </si>
  <si>
    <t>Non Current Assets- Bank Deposits with more than 12 months maturity</t>
  </si>
  <si>
    <t>Investment in FD – Chandrapur 50 MLD ST</t>
  </si>
  <si>
    <t>Invst FD – Cash Margin for issue of Lit</t>
  </si>
  <si>
    <t>Investment in FD – NWWMPL Escrow  Depos</t>
  </si>
  <si>
    <t>Note 3B</t>
  </si>
  <si>
    <t>Non-Current :  Trade Receivables</t>
  </si>
  <si>
    <t>Other Non- Current Assets</t>
  </si>
  <si>
    <t>Advance to Supplier</t>
  </si>
  <si>
    <t>Aurangabad Power Company Limited</t>
  </si>
  <si>
    <t>Other Loans &amp; Advances</t>
  </si>
  <si>
    <t>Employee Recoverables</t>
  </si>
  <si>
    <t>Receivable from Government</t>
  </si>
  <si>
    <t>CST - Payable (Sales)</t>
  </si>
  <si>
    <t>Recoverable from Railway against GST TDS</t>
  </si>
  <si>
    <t>Recovery from Vendor for third party payments</t>
  </si>
  <si>
    <t>Advance to Government Authorities</t>
  </si>
  <si>
    <t>Balance recoverable from statutory  authorities</t>
  </si>
  <si>
    <t>Advances for fuel supplies</t>
  </si>
  <si>
    <t>Income Tax - Adv &amp; SA TAx</t>
  </si>
  <si>
    <t>TDS-Income from Investment</t>
  </si>
  <si>
    <t>TDS-Services rendered</t>
  </si>
  <si>
    <t>TDS-Other Income</t>
  </si>
  <si>
    <t>IT TDS under Section 194O</t>
  </si>
  <si>
    <t>TDS credit u/s 194Q</t>
  </si>
  <si>
    <t>Less: Provision for Income Tax</t>
  </si>
  <si>
    <t>HBA Principal</t>
  </si>
  <si>
    <t>Scooter Principal</t>
  </si>
  <si>
    <t>Car Principal</t>
  </si>
  <si>
    <t>Cycle Principal</t>
  </si>
  <si>
    <t>Computer Principal</t>
  </si>
  <si>
    <t>TA/DA Advance</t>
  </si>
  <si>
    <t>Salary/Pay Advance</t>
  </si>
  <si>
    <t>Festival Advance</t>
  </si>
  <si>
    <t>Covid 19 Advance</t>
  </si>
  <si>
    <t>Flood Advance</t>
  </si>
  <si>
    <t>Medical Advance</t>
  </si>
  <si>
    <t>LTC Advance</t>
  </si>
  <si>
    <t>Advance against Wage Revision</t>
  </si>
  <si>
    <t>Interim Relief-Advance</t>
  </si>
  <si>
    <t>1/3rd Gratuity Advance</t>
  </si>
  <si>
    <t xml:space="preserve">Deferred Lease Rent </t>
  </si>
  <si>
    <t>Note 5</t>
  </si>
  <si>
    <t>Stock of Power</t>
  </si>
  <si>
    <t>Stock Raw Coal</t>
  </si>
  <si>
    <t>Rejected Coal Stock</t>
  </si>
  <si>
    <t>Stock Washed Coal</t>
  </si>
  <si>
    <t>Stock Imported Coal</t>
  </si>
  <si>
    <t>St- Other Coal Rel Cost (Material)</t>
  </si>
  <si>
    <t>Semi Finished Raw coal</t>
  </si>
  <si>
    <t>Semi finished Washed</t>
  </si>
  <si>
    <t>Semi finished Imported</t>
  </si>
  <si>
    <t>Stock with Import Coal Transporter</t>
  </si>
  <si>
    <t>Fuel stock excess/shortages pending investigation</t>
  </si>
  <si>
    <t>Oil Stock - L.D.O.</t>
  </si>
  <si>
    <t>Oil Stock - H.S.D.</t>
  </si>
  <si>
    <t>Oil Stock - F.O.</t>
  </si>
  <si>
    <t>Oil Stock - Other</t>
  </si>
  <si>
    <t>Stock of Gas</t>
  </si>
  <si>
    <t>Stock of Water</t>
  </si>
  <si>
    <t>Stock of Raw Water</t>
  </si>
  <si>
    <t>Stock of Semi finished Water - PTP</t>
  </si>
  <si>
    <t>Stock of Semi finished Water - DM</t>
  </si>
  <si>
    <t>Stock of Semi finished Water - Soften Water</t>
  </si>
  <si>
    <t>Stock of Semi finished Water - Dom Water</t>
  </si>
  <si>
    <t>Stock of Medicines</t>
  </si>
  <si>
    <t>Stock-in-transit (Coal)</t>
  </si>
  <si>
    <t>Oil in Transit</t>
  </si>
  <si>
    <t>Stock of Chemical WTP</t>
  </si>
  <si>
    <t>O&amp;M Material Stock-Steel</t>
  </si>
  <si>
    <t>O&amp;M Material Stock-Cement</t>
  </si>
  <si>
    <t>O&amp;M Material Stock-Cable &amp; Conductors</t>
  </si>
  <si>
    <t>Spares Stock</t>
  </si>
  <si>
    <t>Stock - Reg Staff Welfare</t>
  </si>
  <si>
    <t>Stock - Office Stationery</t>
  </si>
  <si>
    <t>St-Chemical consumable</t>
  </si>
  <si>
    <t>Stock  of Project Material</t>
  </si>
  <si>
    <t>St - Canteen Exps (Material)</t>
  </si>
  <si>
    <t>St- Tel &amp; Mob Ex (Material)</t>
  </si>
  <si>
    <t>St- Entertainment Ex (Material)</t>
  </si>
  <si>
    <t>St- Exp on Meeti &amp; Conf (Material)</t>
  </si>
  <si>
    <t>St- Upkeep of Office (Mate)</t>
  </si>
  <si>
    <t>St- Sec meas for safety &amp; protection (Material)</t>
  </si>
  <si>
    <t>Material pending investigation</t>
  </si>
  <si>
    <t>Initial stock load-pending material master</t>
  </si>
  <si>
    <t>Stock - Scrap</t>
  </si>
  <si>
    <t>Less:Provision for material shortage pendg investigatn</t>
  </si>
  <si>
    <t>Total Inventories</t>
  </si>
  <si>
    <t>Note 6</t>
  </si>
  <si>
    <t>Sundry debtors for sale of power - Commercial</t>
  </si>
  <si>
    <t>Sundry debtors for sale of power - Industrial low</t>
  </si>
  <si>
    <t>Sundry debtors for sale of power - Industrial high</t>
  </si>
  <si>
    <t>Sundry debtors for sale of power - Public lighting</t>
  </si>
  <si>
    <t>Sundry debtors for sale of power - MSEDCL</t>
  </si>
  <si>
    <t>Sundry Debtors for Energy saving certificate</t>
  </si>
  <si>
    <t>Sundry debtors Others</t>
  </si>
  <si>
    <t>Sundry debtors - AR-IPP Coal Sale</t>
  </si>
  <si>
    <t>Note 7</t>
  </si>
  <si>
    <t>Cash equivalents</t>
  </si>
  <si>
    <t>Employee loans and advances</t>
  </si>
  <si>
    <t>Advance to staff</t>
  </si>
  <si>
    <t>CPF Loan Principal</t>
  </si>
  <si>
    <t xml:space="preserve">Other  Advances </t>
  </si>
  <si>
    <t>Interest due</t>
  </si>
  <si>
    <t>Mediclaim recoverable</t>
  </si>
  <si>
    <t>Mediclaim compulsary  Recovery CISF</t>
  </si>
  <si>
    <t>Term Accident Insurance Recovery From Employee</t>
  </si>
  <si>
    <t>Electricity Charges Recoverable</t>
  </si>
  <si>
    <t>Sundry debtors for sale of power - Domestic or Res</t>
  </si>
  <si>
    <t>Unbilled Revenue Receivables</t>
  </si>
  <si>
    <t>Ind AS-Surcharge Receivable</t>
  </si>
  <si>
    <t>Tax claims including MVAT set-off</t>
  </si>
  <si>
    <t>MVAT Set-off</t>
  </si>
  <si>
    <t>Deposit with MSEDCL</t>
  </si>
  <si>
    <t>Deposit with MSETCL</t>
  </si>
  <si>
    <t>Deposit paid by Mahagenco</t>
  </si>
  <si>
    <t>CST Recoverable</t>
  </si>
  <si>
    <t>Balances with Statutory Authorities</t>
  </si>
  <si>
    <t>Advances to O&amp;M Suppliers</t>
  </si>
  <si>
    <t>Advances for fuel companies</t>
  </si>
  <si>
    <t>Equity Share Capital</t>
  </si>
  <si>
    <t>Other Equity</t>
  </si>
  <si>
    <t>General Reserve</t>
  </si>
  <si>
    <t>Capital Reserve</t>
  </si>
  <si>
    <t>Opening Retained Earnings</t>
  </si>
  <si>
    <t>Ind AS Retained Earnings</t>
  </si>
  <si>
    <t>Current Year Profit</t>
  </si>
  <si>
    <t>Share application money pending allotment</t>
  </si>
  <si>
    <t>Non- Current Borrowings</t>
  </si>
  <si>
    <t>Power Finance Corporation</t>
  </si>
  <si>
    <t>Rural Electrification Corporation</t>
  </si>
  <si>
    <t>Loan from Housing Urban Development Corporation</t>
  </si>
  <si>
    <t>Less: Current maturities of above Loans</t>
  </si>
  <si>
    <t>LTL fm Canara Bank R &amp; M</t>
  </si>
  <si>
    <t>LTL fm South Ind Bank</t>
  </si>
  <si>
    <t>LTL fm Synd Bk - B105</t>
  </si>
  <si>
    <t>LTL fm Synd Bk - B110</t>
  </si>
  <si>
    <t>LTL fm Synd Bk - B120</t>
  </si>
  <si>
    <t>LTL fm Synd Bk - B125</t>
  </si>
  <si>
    <t>LTL fm Synd Bk - B130</t>
  </si>
  <si>
    <t>LTL fm Synd Bk - B135</t>
  </si>
  <si>
    <t>LTL fm Synd Bk - B135N</t>
  </si>
  <si>
    <t>LTL fm Synd Bk - B136</t>
  </si>
  <si>
    <t>LTL fm Synd Bk - B170</t>
  </si>
  <si>
    <t>LTL fm Synd Bk - MG01</t>
  </si>
  <si>
    <t>LTL fm Canara Bank KRD Proj</t>
  </si>
  <si>
    <t>LTL frm IREDA- 1932- for 4 MW Solar plant at Chand</t>
  </si>
  <si>
    <t>LTLfrom Bank of India (Loan No.-016065410000263) f</t>
  </si>
  <si>
    <t>LT Loan from SBI-Debt Refinancing - Khaperkheda T</t>
  </si>
  <si>
    <t>LT-GoM - Parli3</t>
  </si>
  <si>
    <t>LT-GoM - Paras6</t>
  </si>
  <si>
    <t>LT-GoM - Uran</t>
  </si>
  <si>
    <t>Loan from CSSEPL (Baramati Project)</t>
  </si>
  <si>
    <t>Loan from KfW, Germany for 150 MW Solar Project at</t>
  </si>
  <si>
    <t>LT Loan from KfW Germany for Other Solar Projects</t>
  </si>
  <si>
    <t>LTL frm HUDCO- 20615 Capital Expenditure (Phase-2)</t>
  </si>
  <si>
    <t>LTL frm HUDCO- 20618 Sewage Treatment Plant with r</t>
  </si>
  <si>
    <t>Note 13A</t>
  </si>
  <si>
    <t>Note 16</t>
  </si>
  <si>
    <t>IBRD Grant No. TF094676</t>
  </si>
  <si>
    <t>Govt. Grant for Pophali Colony</t>
  </si>
  <si>
    <t>Solar-Land Grant</t>
  </si>
  <si>
    <t>Solar-DPR Grant</t>
  </si>
  <si>
    <t>Grant for CSTPS Sewage Water Treatment</t>
  </si>
  <si>
    <t>Retention: performance</t>
  </si>
  <si>
    <t>Retention: trial operation</t>
  </si>
  <si>
    <t>Retention:others</t>
  </si>
  <si>
    <t>Note 17</t>
  </si>
  <si>
    <t>Loans repayable on demand</t>
  </si>
  <si>
    <t>from banks</t>
  </si>
  <si>
    <t>Cash Credit</t>
  </si>
  <si>
    <t>WCDL fm Bank of India</t>
  </si>
  <si>
    <t>WCDL fm Bank of Maharashtra</t>
  </si>
  <si>
    <t>WCDL fm Canara Bank</t>
  </si>
  <si>
    <t>WCDL from Indian Bank</t>
  </si>
  <si>
    <t>WCDL from Central Bank of India</t>
  </si>
  <si>
    <t>WCDL from State Bank of India</t>
  </si>
  <si>
    <t>'ST Loan from Banks-CAPEX</t>
  </si>
  <si>
    <t>STL - Gare Palma Exp</t>
  </si>
  <si>
    <t>Main-BOI1-0014-WM</t>
  </si>
  <si>
    <t>Op-BOI1-0014-WM</t>
  </si>
  <si>
    <t>Main-BOM1-5349-WM</t>
  </si>
  <si>
    <t>Op-BOM1-5349-WM</t>
  </si>
  <si>
    <t>Main-CNB1-0705-WM</t>
  </si>
  <si>
    <t>Op-CNB1-0705-WM</t>
  </si>
  <si>
    <t>All Bank Balance</t>
  </si>
  <si>
    <t>Working Capital</t>
  </si>
  <si>
    <t>ST Loan fm Andhra Bank-WC</t>
  </si>
  <si>
    <t>ST Loan fm Bk of Maha-WC</t>
  </si>
  <si>
    <t>ST Loan fm Canara Bank-WC</t>
  </si>
  <si>
    <t>ST Loan fm Central Bank-WC</t>
  </si>
  <si>
    <t>ST Loan fm Dena Bank-WC</t>
  </si>
  <si>
    <t>ST Loan fm Indian Bank-WC</t>
  </si>
  <si>
    <t>ST Loan fm BoB-WC</t>
  </si>
  <si>
    <t>ST Loan fm Vijaya Bank-WC</t>
  </si>
  <si>
    <t>ST Loan fm United Bank of India -WC</t>
  </si>
  <si>
    <t>ST Loan fm BOI -Working Capital</t>
  </si>
  <si>
    <t>ST Loan from South Indian Bank-WC</t>
  </si>
  <si>
    <t>ST Loan from HDFC Bank Ltd.-WC</t>
  </si>
  <si>
    <t>Unsecured Other Short Term Loans</t>
  </si>
  <si>
    <t>STL from Banks</t>
  </si>
  <si>
    <t>ST Loan fm SBI</t>
  </si>
  <si>
    <t>ST Loan fm Syndicate Bank</t>
  </si>
  <si>
    <t>ST Loan fm IREDA</t>
  </si>
  <si>
    <t>ST Loan from Gadchiroli DCC Bank-WC</t>
  </si>
  <si>
    <t>ST Loan from MSC- 2116900000001 - WC</t>
  </si>
  <si>
    <t>BOB STL Rs. 500 Cr</t>
  </si>
  <si>
    <t>ST Loan fm Canara Bank-Proj</t>
  </si>
  <si>
    <t>ST Loan fm Central Bank-Proj</t>
  </si>
  <si>
    <t>STL from Bank of India for Project</t>
  </si>
  <si>
    <t>STL from Dena bank  India</t>
  </si>
  <si>
    <t>STL from Syndecate Bank  India for Project Bridge</t>
  </si>
  <si>
    <t>STL from Bank of Maharashtra Project Bridge</t>
  </si>
  <si>
    <t>STL From South Indian Bank for Project</t>
  </si>
  <si>
    <t>STL from Vijaya Bank for Projects</t>
  </si>
  <si>
    <t>ST Loan fm Syndicate Bank- Capex</t>
  </si>
  <si>
    <t>ST Loan fm   Bank of Maharashtra - Capex</t>
  </si>
  <si>
    <t>ST Loan fm Dena Bank- Capex</t>
  </si>
  <si>
    <t>ST Loan fm South Indian Bank - Capex</t>
  </si>
  <si>
    <t>Note 17A</t>
  </si>
  <si>
    <t>AP- Fuel  Raw Coal</t>
  </si>
  <si>
    <t>AP- Fuel  Wash Coal</t>
  </si>
  <si>
    <t>AP- Fuel Imported coal</t>
  </si>
  <si>
    <t>AP- Oil</t>
  </si>
  <si>
    <t>AP- Water</t>
  </si>
  <si>
    <t>AP- Chemical (WTP)</t>
  </si>
  <si>
    <t>AP-purchase of Gas</t>
  </si>
  <si>
    <t>AP-Coal related costs</t>
  </si>
  <si>
    <t>AP-Oil related costs</t>
  </si>
  <si>
    <t>AP-Gas related costs</t>
  </si>
  <si>
    <t>AP-Domestic-O&amp;M material / service</t>
  </si>
  <si>
    <t>AP-Import-O&amp;M material/service</t>
  </si>
  <si>
    <t>AP-One time vendor</t>
  </si>
  <si>
    <t>AP-Other vendors</t>
  </si>
  <si>
    <t>AP-Government authorities</t>
  </si>
  <si>
    <t>AP-Power Purchase by MAHAGENCO</t>
  </si>
  <si>
    <t>AP-Energy saving certificates Trading</t>
  </si>
  <si>
    <t>GR/IR Coal Freight Clearing Account -Railways</t>
  </si>
  <si>
    <t>GR / IR Coal Balance upload</t>
  </si>
  <si>
    <t>GR/IR Clearing-Raw Coal</t>
  </si>
  <si>
    <t>GR/IR Clearing-Washed Coal</t>
  </si>
  <si>
    <t>GR/IR Clearing-Imported Coal</t>
  </si>
  <si>
    <t>GR/IR- Other Coal Rel Cost (Mater)</t>
  </si>
  <si>
    <t>GR/IR Freight payable-Oil</t>
  </si>
  <si>
    <t>GR/IR Clearing-Oil</t>
  </si>
  <si>
    <t>GR/IR Clearing-Oil-Ldo</t>
  </si>
  <si>
    <t>GR/IR Clearing-Oil-HSD</t>
  </si>
  <si>
    <t>GR/IR Clearing-Oil-FO</t>
  </si>
  <si>
    <t>GR/IR Clearing-Chemical (WTP)</t>
  </si>
  <si>
    <t>GR/IR Medicines</t>
  </si>
  <si>
    <t>GR/IR Clearing - Raw Water</t>
  </si>
  <si>
    <t>GR/IR Clearing - Gas</t>
  </si>
  <si>
    <t>GR/IR Gas Freight Clearing Account</t>
  </si>
  <si>
    <t>Provision For Coal Related Costs</t>
  </si>
  <si>
    <t>GR / IR Balance upload</t>
  </si>
  <si>
    <t>GR/IR Steel Freight Clearing Account</t>
  </si>
  <si>
    <t>GR/IR Project Freight Clearing Account</t>
  </si>
  <si>
    <t>GR/IR Clearing - Steel</t>
  </si>
  <si>
    <t>GR/IR Clearing - Cement</t>
  </si>
  <si>
    <t>GR/IR Clearing - Cables</t>
  </si>
  <si>
    <t>GR/IR Clearing - Services</t>
  </si>
  <si>
    <t>GR/IR Clearing - Spares and other material</t>
  </si>
  <si>
    <t>GR/IR clg- chemicals/consumable</t>
  </si>
  <si>
    <t>GR/IR clg- Customs</t>
  </si>
  <si>
    <t>GR/IR Clearing - Reg Staff welfare</t>
  </si>
  <si>
    <t>GR/IR Clearing - Office Stationery</t>
  </si>
  <si>
    <t>GR/IR-Canteen Exps (Material)</t>
  </si>
  <si>
    <t>GR/IR- Tel &amp; Mob Ex (Material)</t>
  </si>
  <si>
    <t>GR/IR- Entertainment Ex (Material)</t>
  </si>
  <si>
    <t>GR/IR-Exp on Meeti &amp; Conf (Mater)</t>
  </si>
  <si>
    <t>GR/IR-Upkeep of Office (Mate)</t>
  </si>
  <si>
    <t>GR/IR- Sec meas for saft (Material)</t>
  </si>
  <si>
    <t>Provision For Supply Of Materials / Works - O&amp;M</t>
  </si>
  <si>
    <t>Retentions</t>
  </si>
  <si>
    <t>Deposits received by MAHAGENCO</t>
  </si>
  <si>
    <t>Securities-Consumers (FD)</t>
  </si>
  <si>
    <t>Provision for Liability for Expenses</t>
  </si>
  <si>
    <t>Deposits from Consumers</t>
  </si>
  <si>
    <t>Security Deposit</t>
  </si>
  <si>
    <t>Earnest money Deposit</t>
  </si>
  <si>
    <t>Int Accrued but not due on WC</t>
  </si>
  <si>
    <t>Int Accrued but not due on Proj STL</t>
  </si>
  <si>
    <t>Int Accrued but not due on CAPEX STL</t>
  </si>
  <si>
    <t>Int Accrued but not due on LTL</t>
  </si>
  <si>
    <t>Interest accrued but not due on REC MTL for WC</t>
  </si>
  <si>
    <t>Int Accrued &amp; due on WC</t>
  </si>
  <si>
    <t>Int Accrued &amp; due on Proj STL</t>
  </si>
  <si>
    <t>Int Accrued &amp; due on CAPEX STL</t>
  </si>
  <si>
    <t>Int Accrued &amp; due on LTL</t>
  </si>
  <si>
    <t>Interest accrued and due on REC MTL for WC</t>
  </si>
  <si>
    <t>Amount payable to MSETCL</t>
  </si>
  <si>
    <t>Amount payable to MSEDCL</t>
  </si>
  <si>
    <t>Amount payable to MSEB HCL</t>
  </si>
  <si>
    <t>Deposits received by MAHAGENCO from MSEDCL</t>
  </si>
  <si>
    <t>Security Deposit received from MSEDCL</t>
  </si>
  <si>
    <t>Security Deposit received from MSETCL</t>
  </si>
  <si>
    <t>Retentions with MAHAGENCO of MSEB Holding Co.</t>
  </si>
  <si>
    <t>Retentions with MAHAGENCO of MSEDCL</t>
  </si>
  <si>
    <t>Other ch-third party sales</t>
  </si>
  <si>
    <t>Foreign Exchange Bal. Re adjustment A/c</t>
  </si>
  <si>
    <t>Liability Reg unsuccessful Bank Transactions</t>
  </si>
  <si>
    <t>Employees Notice Pay</t>
  </si>
  <si>
    <t>AP-Employees</t>
  </si>
  <si>
    <t>Unpaid Bonus</t>
  </si>
  <si>
    <t>EE Contribution towards PF</t>
  </si>
  <si>
    <t>Boards contribution to PF</t>
  </si>
  <si>
    <t>EE Contrib Mediclaim Top up</t>
  </si>
  <si>
    <t>Life insurance premium recovered</t>
  </si>
  <si>
    <t>Payroll Savings Scheme</t>
  </si>
  <si>
    <t>Credit Society</t>
  </si>
  <si>
    <t>Special Payroll Repayment</t>
  </si>
  <si>
    <t>Net salary payable</t>
  </si>
  <si>
    <t>Claims recoverable from employee</t>
  </si>
  <si>
    <t>Monthly Monetary Benefit Scheme</t>
  </si>
  <si>
    <t>Postal Life insurance</t>
  </si>
  <si>
    <t>DCPS Defined Contribution Pension Scheme</t>
  </si>
  <si>
    <t>DCPS EE Contribution GOVT liability</t>
  </si>
  <si>
    <t>Miscellaneous recoveries from staff</t>
  </si>
  <si>
    <t>Donation towards Natural Calamities</t>
  </si>
  <si>
    <t>Welfare Fund - Employee Contribution</t>
  </si>
  <si>
    <t>Contribution towards flag day</t>
  </si>
  <si>
    <t>Welfare Fund - Employer Contribution</t>
  </si>
  <si>
    <t>Perquisite Tax - Employer pymt</t>
  </si>
  <si>
    <t>Provision for Employee  Expenses</t>
  </si>
  <si>
    <t>Staff Welfare Fund</t>
  </si>
  <si>
    <t>General Provident Fund</t>
  </si>
  <si>
    <t>Note 20</t>
  </si>
  <si>
    <t>Income Tax deducted at source</t>
  </si>
  <si>
    <t>TDS - Insurance Commission</t>
  </si>
  <si>
    <t>TDS - Interest from bank</t>
  </si>
  <si>
    <t>TDS - Professional Fees</t>
  </si>
  <si>
    <t>TDS - Rent - Plant &amp; Ma</t>
  </si>
  <si>
    <t>TDS - Rent - Property</t>
  </si>
  <si>
    <t>TDS - Brokerage &amp; Commission</t>
  </si>
  <si>
    <t>TDS - Contract</t>
  </si>
  <si>
    <t>TDS-Foreign Payments</t>
  </si>
  <si>
    <t>TDS on interest(Unsecured Loans )</t>
  </si>
  <si>
    <t>TDS on Transfer of Immovable Property</t>
  </si>
  <si>
    <t>TDS on Purchase of Goods</t>
  </si>
  <si>
    <t>Income tax deducted at source - Contractors</t>
  </si>
  <si>
    <t>TCS on sale</t>
  </si>
  <si>
    <t>TCS Payable offset</t>
  </si>
  <si>
    <t>TCS collectible under Section 206C (1H)</t>
  </si>
  <si>
    <t>Works Contract Tax</t>
  </si>
  <si>
    <t>Service Tax liability &amp; Electricity duty payable</t>
  </si>
  <si>
    <t>TDS - Service Tax</t>
  </si>
  <si>
    <t>Swachh Bharat Cess (Reverse Charge)</t>
  </si>
  <si>
    <t>Krishi Kalyan Cess (Reverse Charge)</t>
  </si>
  <si>
    <t>Service tax payable</t>
  </si>
  <si>
    <t>Ser Tax Ecess Payable</t>
  </si>
  <si>
    <t>Ser Tax HECess Payable</t>
  </si>
  <si>
    <t>Swachh Bharat Cess (Output)</t>
  </si>
  <si>
    <t>Krishi Kalyan Cess (Output)</t>
  </si>
  <si>
    <t>Electricity Duty Payable</t>
  </si>
  <si>
    <t>Electricity duty payable</t>
  </si>
  <si>
    <t>ST payable on Elctr Duty</t>
  </si>
  <si>
    <t>GST Liability</t>
  </si>
  <si>
    <t>CGST (Reverse Charge) INPUT</t>
  </si>
  <si>
    <t>IGST (Reverse Charge) INPUT</t>
  </si>
  <si>
    <t>SGST (Reverse Charge) INPUT</t>
  </si>
  <si>
    <t>TDS-CGST</t>
  </si>
  <si>
    <t>TDS SGST</t>
  </si>
  <si>
    <t>TDS IGST</t>
  </si>
  <si>
    <t>TDS UTGST</t>
  </si>
  <si>
    <t>CGST OUTPUT ON SALES</t>
  </si>
  <si>
    <t>SGST OUTPUT ON SALES</t>
  </si>
  <si>
    <t>IGST OUTPUT ON SALES</t>
  </si>
  <si>
    <t>CGST - Output ESCerts</t>
  </si>
  <si>
    <t>SGST - Output ESCerts</t>
  </si>
  <si>
    <t>IGST - Output Rejected coal</t>
  </si>
  <si>
    <t>CGST - ITC ESCerts</t>
  </si>
  <si>
    <t>SGST - ITC ESCerts</t>
  </si>
  <si>
    <t>IGST - ITC ESCerts</t>
  </si>
  <si>
    <t>CGST - ITC Rejected coal</t>
  </si>
  <si>
    <t>SGST - ITC Rejected coal</t>
  </si>
  <si>
    <t>IGST - ITC Rejected coal</t>
  </si>
  <si>
    <t>ITC Coal Compensation Cess</t>
  </si>
  <si>
    <t>(CGST - ITC on Scrap sale</t>
  </si>
  <si>
    <t>(SGST - ITC on Scrap sale)</t>
  </si>
  <si>
    <t>GST RCM ON ADVANCE PAID</t>
  </si>
  <si>
    <t>CGST TCS</t>
  </si>
  <si>
    <t>SGST TCS</t>
  </si>
  <si>
    <t>IGST TCS</t>
  </si>
  <si>
    <t>Provision for Wealth Tax</t>
  </si>
  <si>
    <t>Profession Tax recovered</t>
  </si>
  <si>
    <t>Note 21</t>
  </si>
  <si>
    <t>Cash-WM</t>
  </si>
  <si>
    <t>Cash-HO</t>
  </si>
  <si>
    <t>Cash-BTPS</t>
  </si>
  <si>
    <t>Cash-CSTPS</t>
  </si>
  <si>
    <t>Cash-KTPS</t>
  </si>
  <si>
    <t>Cash-NTPS</t>
  </si>
  <si>
    <t>Cash-PSTPS</t>
  </si>
  <si>
    <t>Cash-PLTPS</t>
  </si>
  <si>
    <t>Cash-KDTPS</t>
  </si>
  <si>
    <t>Cash-UGTPS</t>
  </si>
  <si>
    <t>Cash-SE(Coal)Nagpur</t>
  </si>
  <si>
    <t>Cash-PHPC</t>
  </si>
  <si>
    <t>Cash-Bhira</t>
  </si>
  <si>
    <t>Cash-Panshet</t>
  </si>
  <si>
    <t>Cash-Tillari</t>
  </si>
  <si>
    <t>Cash-Pophali</t>
  </si>
  <si>
    <t>Cash-Yeldari</t>
  </si>
  <si>
    <t>Cash-G'ghar</t>
  </si>
  <si>
    <t>Cash-Vaitarna</t>
  </si>
  <si>
    <t>Cash-Bhatghar</t>
  </si>
  <si>
    <t>Cash-NHPC</t>
  </si>
  <si>
    <t>Cash-GCKoradi</t>
  </si>
  <si>
    <t>Cash-KPRJEXP</t>
  </si>
  <si>
    <t>Cash-PSPRJ</t>
  </si>
  <si>
    <t>Cash-CPRJ</t>
  </si>
  <si>
    <t>Cash-PLPRJ</t>
  </si>
  <si>
    <t>Cash-BPRJ</t>
  </si>
  <si>
    <t>Cash-KDPRJ</t>
  </si>
  <si>
    <t>Cash-CCVL</t>
  </si>
  <si>
    <t>Cash-PLCVL</t>
  </si>
  <si>
    <t>Cash-KDCVL</t>
  </si>
  <si>
    <t>Cash-KCVL</t>
  </si>
  <si>
    <t>Cash-PSCVL</t>
  </si>
  <si>
    <t>Cash-Bhusawal Civil</t>
  </si>
  <si>
    <t>Cash-Dhule Civil</t>
  </si>
  <si>
    <t>Main-ANB1-7003-WM</t>
  </si>
  <si>
    <t>Op-ANB1-7003-WM</t>
  </si>
  <si>
    <t>Main-BOB1A-0272-WM</t>
  </si>
  <si>
    <t>Op-BOB1A-0272-WM</t>
  </si>
  <si>
    <t>Main-BOI3A-0239-WM</t>
  </si>
  <si>
    <t>Op-BOI3A-0239-WM</t>
  </si>
  <si>
    <t>Main-BOI3B-0083-WM E freight A/C / CC Account</t>
  </si>
  <si>
    <t>Op-BOI3B-0083-WM E freight A/C / CC Account</t>
  </si>
  <si>
    <t>Main-BOI1B-0088-WM</t>
  </si>
  <si>
    <t>Op-BOI1B-0088-WM</t>
  </si>
  <si>
    <t>Main-BOI6-0050-WM</t>
  </si>
  <si>
    <t>OP-BOI6-0050-WM</t>
  </si>
  <si>
    <t>Op-BOI3C-0377-WM</t>
  </si>
  <si>
    <t>Op-BOI3D-0383-WM</t>
  </si>
  <si>
    <t>Main-CBI4-2025-WM</t>
  </si>
  <si>
    <t>Op-CBI4-2025-WM</t>
  </si>
  <si>
    <t>Main-DENA3-2601-WM</t>
  </si>
  <si>
    <t>Op-DENA3-2601-WM</t>
  </si>
  <si>
    <t>Main-HDFC1-2703-WM</t>
  </si>
  <si>
    <t>Op-HDFC1-2703-WM</t>
  </si>
  <si>
    <t>Main-HDFC2-5535-WM</t>
  </si>
  <si>
    <t>Op-HDFC2-5535-WM</t>
  </si>
  <si>
    <t>Main-HDFC3-5548-WM</t>
  </si>
  <si>
    <t>Op-HDFC3-5548-WM</t>
  </si>
  <si>
    <t>Main-HDFC4-7738-WM</t>
  </si>
  <si>
    <t>Op-HDFC4-7738-WM</t>
  </si>
  <si>
    <t>Main-IDBI1-0202-WM</t>
  </si>
  <si>
    <t>Op-IDBI1-0202-WM</t>
  </si>
  <si>
    <t>Main-MSCB1-7136-WM</t>
  </si>
  <si>
    <t>Op-MSCB1-7136-WM</t>
  </si>
  <si>
    <t>Main-SBH3-8643-WM</t>
  </si>
  <si>
    <t>Op-SBH3-8643-WM</t>
  </si>
  <si>
    <t>Main-SBI9-6566-WM</t>
  </si>
  <si>
    <t>Op-SBI9-6566-WM</t>
  </si>
  <si>
    <t>Main-SBI9D-7367-WM</t>
  </si>
  <si>
    <t>Op-SBI9D-7367-WM</t>
  </si>
  <si>
    <t>Main-SBI9E-8427-WM</t>
  </si>
  <si>
    <t>Op-SBI9E-8427-WM</t>
  </si>
  <si>
    <t>Main-SBI9F-2465-WM</t>
  </si>
  <si>
    <t>Op-SBI9F-2465-WM</t>
  </si>
  <si>
    <t>Main-SBI9A-6657-WM</t>
  </si>
  <si>
    <t>Op-SBI9A-6657-WM</t>
  </si>
  <si>
    <t>Main-SBI9G-7857-WM​​</t>
  </si>
  <si>
    <t>Op-SBI9G-7857-WM​</t>
  </si>
  <si>
    <t>Main-SBI9H-1663-WM_freight pyt to East Coast Rly</t>
  </si>
  <si>
    <t>Op-SBI9H-1663-WM_freight pyt to East Co</t>
  </si>
  <si>
    <t>Op-SBI9I-1081-WM- e-freight payment to</t>
  </si>
  <si>
    <t>Main-SBI9B-7947-WM</t>
  </si>
  <si>
    <t>Op-SBI9B-7947-WM</t>
  </si>
  <si>
    <t>Main-SBI9C-8978-WM</t>
  </si>
  <si>
    <t>Op-SBI9C-8978-WM</t>
  </si>
  <si>
    <t>Main-UBI2-1477-WM</t>
  </si>
  <si>
    <t>Op-UBI2-1477-WM</t>
  </si>
  <si>
    <t>Main-BOM1A-1284-WM</t>
  </si>
  <si>
    <t>Op-BOM1A-1284-WM</t>
  </si>
  <si>
    <t>Op-BOM5D-5055-WM</t>
  </si>
  <si>
    <t>Main-ICIC1-1256-WM</t>
  </si>
  <si>
    <t>Op-ICIC1-1256-WM</t>
  </si>
  <si>
    <t>Op-BOI3E-0400-WM ESCROW A/c for 50 MLD</t>
  </si>
  <si>
    <t>Main-PNB1-6466-WM</t>
  </si>
  <si>
    <t>Op-PNB1-6466-WM</t>
  </si>
  <si>
    <t>Main-BOM2-3753-HO</t>
  </si>
  <si>
    <t>Op-BOM2-3753-HO</t>
  </si>
  <si>
    <t>Main-NBOM7-3742-HO</t>
  </si>
  <si>
    <t>OP-NBOM7-3742-HO</t>
  </si>
  <si>
    <t>Main-AXB1-0365-HO</t>
  </si>
  <si>
    <t>Op-AXB1-0365-HO</t>
  </si>
  <si>
    <t>Main-SBI10-6566-HO</t>
  </si>
  <si>
    <t>OP-SBI10-6566-HO</t>
  </si>
  <si>
    <t>Main-NHDF1-2051-HO</t>
  </si>
  <si>
    <t>OP-NHDF1-2051-HO</t>
  </si>
  <si>
    <t>Main-BOI1A-0040-HO</t>
  </si>
  <si>
    <t>Op-BOI1A-0040-HO</t>
  </si>
  <si>
    <t>Main-BOI1C-0310-HO</t>
  </si>
  <si>
    <t>Op-BOI1C-0310-HO</t>
  </si>
  <si>
    <t>Main-CNB1A-2329-HO</t>
  </si>
  <si>
    <t>Op-CNB1A-2329-HO</t>
  </si>
  <si>
    <t>Main-ICIC2-2219-HO</t>
  </si>
  <si>
    <t>Op-ICIC2-2219-HO</t>
  </si>
  <si>
    <t>Main-HDFC1-2703-HO</t>
  </si>
  <si>
    <t>OP-HDFC1-2703-HO</t>
  </si>
  <si>
    <t>Main-HDFC2-5535-HO</t>
  </si>
  <si>
    <t>Op-HDFC2-5535-HO</t>
  </si>
  <si>
    <t>Main-HDFC3-5548-HO</t>
  </si>
  <si>
    <t>Op-HDFC3-5548-HO</t>
  </si>
  <si>
    <t>Main-HDFC4-7738-HO</t>
  </si>
  <si>
    <t>Op-HDFC4-7738-HO</t>
  </si>
  <si>
    <t>Cash in Transit - HO WM</t>
  </si>
  <si>
    <t>Revenue Stamp</t>
  </si>
  <si>
    <t>Main-CBI1A-7523-BTPS</t>
  </si>
  <si>
    <t>Op-CBI1A-7523-BTPS</t>
  </si>
  <si>
    <t>Main-NCBI1-7534-BTPS</t>
  </si>
  <si>
    <t>OP-NCBI1-7534-BTPS</t>
  </si>
  <si>
    <t>Main-SBI2-5920-BTPS</t>
  </si>
  <si>
    <t>Op-SBI2-5920-BTPS</t>
  </si>
  <si>
    <t>Main-BOI2B-3214-CSTPS</t>
  </si>
  <si>
    <t>Op-BOI2B-3214-CSTPS</t>
  </si>
  <si>
    <t>Main-NBOI3-3120-CSTPS</t>
  </si>
  <si>
    <t>OP-NBOI3-3120-CSTPS</t>
  </si>
  <si>
    <t>Main-SBI3B-7049-KTPS</t>
  </si>
  <si>
    <t>Op-SBI3B-7049-KTPS</t>
  </si>
  <si>
    <t>Main-NSBI8-7152-KTPS</t>
  </si>
  <si>
    <t>OP-NSBI8-7152-KTPS</t>
  </si>
  <si>
    <t>Main-NSB10-8939-KTPS</t>
  </si>
  <si>
    <t>OP-NSB10-8939-KTPS</t>
  </si>
  <si>
    <t>Main-BOB3-0147-NTPS</t>
  </si>
  <si>
    <t>Op-BOB3-0147-NTPS</t>
  </si>
  <si>
    <t>Main-NBOB3-0165-NTPS</t>
  </si>
  <si>
    <t>OP-NBOB3-0165-NTPS</t>
  </si>
  <si>
    <t>Main-BOB3A-0248-NTPS</t>
  </si>
  <si>
    <t>Op-BOB3A-0248-NTPS</t>
  </si>
  <si>
    <t>Main-SBI1-0030-PSTPS</t>
  </si>
  <si>
    <t>Op-SBI1-0030-PSTPS</t>
  </si>
  <si>
    <t>Main-NSBI9-0029-PSTPS</t>
  </si>
  <si>
    <t>OP-NSBI9-0029-PSTPS</t>
  </si>
  <si>
    <t>Main-NSBI9A-0050-PSTPS</t>
  </si>
  <si>
    <t>Op-NSBI9A-0050-PSTPS</t>
  </si>
  <si>
    <t>Main-BOM5-1076-PLTPS</t>
  </si>
  <si>
    <t>Op-BOM5-1076-PLTPS</t>
  </si>
  <si>
    <t>Main-NBOM2-1134-PLTPS</t>
  </si>
  <si>
    <t>OP-NBOM2-1134-PLTPS</t>
  </si>
  <si>
    <t>Main-SBI5-0425-PLTPS</t>
  </si>
  <si>
    <t>Op-SBI5-0425-PLTPS</t>
  </si>
  <si>
    <t>Main-NSBI7-7918-PLTPS</t>
  </si>
  <si>
    <t>OP-NSBI7-7918-PLTPS</t>
  </si>
  <si>
    <t>Main-DENA1-3930-KDTPS</t>
  </si>
  <si>
    <t>Op-DENA1-3930-KDTPS</t>
  </si>
  <si>
    <t>Op-BOI2C-0573-KDTPS</t>
  </si>
  <si>
    <t>Main-NDEN1-3892-KDTPS</t>
  </si>
  <si>
    <t>OP-NDEN1-3892-KDTPS</t>
  </si>
  <si>
    <t>Main-NBOI7-0073-KDTPS</t>
  </si>
  <si>
    <t>OP-NBOI7-0073-KDTPS</t>
  </si>
  <si>
    <t>Main-BOI4-0071-UGTPS</t>
  </si>
  <si>
    <t>Op-BOI4-0071-UGTPS</t>
  </si>
  <si>
    <t>Main-NBOI2-0072-UGTPS</t>
  </si>
  <si>
    <t>OP-NBOI2-0072-UGTPS</t>
  </si>
  <si>
    <t>Main-BOM7-0190-UGTPS</t>
  </si>
  <si>
    <t>Op-BOM7-0190-UGTPS</t>
  </si>
  <si>
    <t>Main-NBOM4-0203-UGTPS</t>
  </si>
  <si>
    <t>OP-NBOM4-0203-UGTPS</t>
  </si>
  <si>
    <t>Main-NBOM5-6743-Uran GTPS</t>
  </si>
  <si>
    <t>OP-NBOM5-6743-Uran GTPS</t>
  </si>
  <si>
    <t>Main-CNB2-0988-COAL</t>
  </si>
  <si>
    <t>Op-CNB2-0988-COAL</t>
  </si>
  <si>
    <t>Main-SYND1-0019-Coal</t>
  </si>
  <si>
    <t>Op-SYND1-0019-Coal</t>
  </si>
  <si>
    <t>Main-ANB2-0250-COAL</t>
  </si>
  <si>
    <t>Op-ANB2-0250-COAL</t>
  </si>
  <si>
    <t>Main-NANB-2336-COAL</t>
  </si>
  <si>
    <t>OP-NANB-2336-COAL</t>
  </si>
  <si>
    <t>Main-BOI3-0025-COAL</t>
  </si>
  <si>
    <t>Op-BOI3-0025-COAL</t>
  </si>
  <si>
    <t>Main-NBOI8-0109-COAL</t>
  </si>
  <si>
    <t>Op-NBOI8-0109-COAL</t>
  </si>
  <si>
    <t>Main-BOM6-4120-COAL</t>
  </si>
  <si>
    <t>Op-BOM6-4120-COAL</t>
  </si>
  <si>
    <t>Main-SBI6A-6510-NTPS</t>
  </si>
  <si>
    <t>Op-SBI6A-6510-NTPS</t>
  </si>
  <si>
    <t>Main-SBI6B-5618-NTPS</t>
  </si>
  <si>
    <t>Op-SBI6B-5618-NTPS</t>
  </si>
  <si>
    <t>Main-BOB2-0320-PHPC</t>
  </si>
  <si>
    <t>Op-BOB2-0320-PHPC</t>
  </si>
  <si>
    <t>Main-BOI1C-0528-PHPC</t>
  </si>
  <si>
    <t>Op-BOI1C-0528-PHPC</t>
  </si>
  <si>
    <t>Main-NBOB2-0426-PHPC</t>
  </si>
  <si>
    <t>Op-NBOB2-0426-PHPC</t>
  </si>
  <si>
    <t>Main-BOM3-0442-Bhira</t>
  </si>
  <si>
    <t>Op-BOM3-0442-Bhira</t>
  </si>
  <si>
    <t>Main-NBOM8-0431-Bhira</t>
  </si>
  <si>
    <t>OP-NBOM8-0431-Bhira</t>
  </si>
  <si>
    <t>Main-BOM4-0014-Panshet</t>
  </si>
  <si>
    <t>Op-BOM4-0014-Panshet</t>
  </si>
  <si>
    <t>Main-NBOM1-0003-Panshet</t>
  </si>
  <si>
    <t>OP-NBOM1-0003-Panshet</t>
  </si>
  <si>
    <t>Main-BOI5-0081-Tillari</t>
  </si>
  <si>
    <t>OP-BOI5-0081-Tillari</t>
  </si>
  <si>
    <t>Main-NBOI4-0080-Tillari</t>
  </si>
  <si>
    <t>OP-NBOI4-0080-Tillari</t>
  </si>
  <si>
    <t>Main-CBI2-1861-Pophali</t>
  </si>
  <si>
    <t>Op-CBI2-1861-Pophali</t>
  </si>
  <si>
    <t>Main-NCBI2-2923-Pophali</t>
  </si>
  <si>
    <t>OP-NCBI2-2923-Pophali</t>
  </si>
  <si>
    <t>Main-SBI6-6413-Pophali</t>
  </si>
  <si>
    <t>Op-SBI6-6413-Pophali</t>
  </si>
  <si>
    <t>Main-NSBI6-2048-Pophali</t>
  </si>
  <si>
    <t>OP-NSBI6-2048-Pophali</t>
  </si>
  <si>
    <t>Main-SBH2-2845-Yeldari</t>
  </si>
  <si>
    <t>Op-SBH2-2845-Yeldari</t>
  </si>
  <si>
    <t>Main-MGB1-9862-Yeldari</t>
  </si>
  <si>
    <t>Op-MGB1-9862-Yeldari</t>
  </si>
  <si>
    <t>Main-NSBH1-2437-Yeldari</t>
  </si>
  <si>
    <t>OP-NSBH1-2437-Yeldari</t>
  </si>
  <si>
    <t>Main-SBI7-8021-G'ghar</t>
  </si>
  <si>
    <t>Op-SBI7-8021-G'ghar</t>
  </si>
  <si>
    <t>Main-NSBI2-6578-G'ghar</t>
  </si>
  <si>
    <t>OP-NSBI2-6578-G'ghar</t>
  </si>
  <si>
    <t>Main-UBI1-2002-Vaitarna</t>
  </si>
  <si>
    <t>Op-UBI1-2002-Vaitarna</t>
  </si>
  <si>
    <t>Op-BOI1E-0244-Vaitarna</t>
  </si>
  <si>
    <t>Main-NUBI-2001-Vaitarna</t>
  </si>
  <si>
    <t>OP-NUBI-2001-Vaitarna</t>
  </si>
  <si>
    <t>Main-BOB4-0016-Bhatghar</t>
  </si>
  <si>
    <t>Op-BOB4-0016-Bhatghar</t>
  </si>
  <si>
    <t>Main-SBI6F-4907-Bhatghar</t>
  </si>
  <si>
    <t>Op-SBI6F-4907-Bhatghar</t>
  </si>
  <si>
    <t>Main-NBOB4-0017-Bhatghar</t>
  </si>
  <si>
    <t>OP-NBOB4-0017-Bhatghar</t>
  </si>
  <si>
    <t>Main-BOB1-0234-NHPC</t>
  </si>
  <si>
    <t>Op-BOB1-0234-NHPC</t>
  </si>
  <si>
    <t>Main-NBOB1-0235-NHPC</t>
  </si>
  <si>
    <t>Op-SBI6C-2209-NHPC</t>
  </si>
  <si>
    <t>OP-NBOB1-0235-NHPC</t>
  </si>
  <si>
    <t>Main-SBI3A-1207-GCKoradi</t>
  </si>
  <si>
    <t>Op-SBI3A-1207-GCKoradi</t>
  </si>
  <si>
    <t>Main-NSBI3-9232-GCKoradi</t>
  </si>
  <si>
    <t>Op-NSBI3-9232-GCKoradi</t>
  </si>
  <si>
    <t>Main-SBI3D-7406-GCKoradi</t>
  </si>
  <si>
    <t>Op-SBI3D-7406-GCKoradi</t>
  </si>
  <si>
    <t>Main-SBI3C-7959-KPRJEXP</t>
  </si>
  <si>
    <t>Op-SBI3C-7959-KPRJEXP</t>
  </si>
  <si>
    <t>Main-NSBI0-8329-KPRJEXP</t>
  </si>
  <si>
    <t>OP-NSBI0-8329-KPRJEXP</t>
  </si>
  <si>
    <t>Main-NSB11-7678-KPRJEXP</t>
  </si>
  <si>
    <t>OP-NSB11-7678-KPRJEXP</t>
  </si>
  <si>
    <t>Main-SBI1A-0052-PSPRJ</t>
  </si>
  <si>
    <t>Op-SBI1A-0052-PSPRJ</t>
  </si>
  <si>
    <t>Main-NSBI4-0041-PSPRJ</t>
  </si>
  <si>
    <t>OP-NSBI4-0041-PSPRJ</t>
  </si>
  <si>
    <t>Main-NSB14A-7177-PSPRJ</t>
  </si>
  <si>
    <t>Op-NSB14A-7177-PSPRJ</t>
  </si>
  <si>
    <t>Main-BOI2A-0043-CPRJ</t>
  </si>
  <si>
    <t>Op-BOI2A-0043-CPRJ</t>
  </si>
  <si>
    <t>Main-NBOI1-0042-CPRJ</t>
  </si>
  <si>
    <t>OP-NBOI1-0042-CPRJ</t>
  </si>
  <si>
    <t>Main-BOM5B-1178-PLPRJ</t>
  </si>
  <si>
    <t>Op-BOM5B-1178-PLPRJ</t>
  </si>
  <si>
    <t>Main-NBOM6-1189-PLPRJ</t>
  </si>
  <si>
    <t>OP-NBOM6-1189-PLPRJ</t>
  </si>
  <si>
    <t>Main-NBOM9-3263-PLPRJ</t>
  </si>
  <si>
    <t>OP-NBOM9-3263-PLPRJ</t>
  </si>
  <si>
    <t>Main-SBH1-0397-PLPRJ</t>
  </si>
  <si>
    <t>Op-SBH1-0397-PLPRJ</t>
  </si>
  <si>
    <t>Main-CBI3-6928-BPRJ</t>
  </si>
  <si>
    <t>Op-CBI3-6928-BPRJ</t>
  </si>
  <si>
    <t>Main-NCBI4-6939-BPRJ</t>
  </si>
  <si>
    <t>OP-NCBI4-6939-BPRJ</t>
  </si>
  <si>
    <t>Main-SBI8-5239-KdPRJ</t>
  </si>
  <si>
    <t>Op-SBI8-5239-KdPRJ</t>
  </si>
  <si>
    <t>Main-NSBI1-9098-KdPRJ</t>
  </si>
  <si>
    <t>OP-NSBI1-9098-KdPRJ</t>
  </si>
  <si>
    <t>Main-NSB13-7104-KdPrj</t>
  </si>
  <si>
    <t>OP-NSB13-7104-KdPrj</t>
  </si>
  <si>
    <t>Main-BOI2-0037-CCVL</t>
  </si>
  <si>
    <t>Op-BOI2-0037-CCVL</t>
  </si>
  <si>
    <t>Main-NBOI6-0038-CCVL</t>
  </si>
  <si>
    <t>OP-NBOI6-0038-CCVL</t>
  </si>
  <si>
    <t>Main-NBOI9-0083-CCVL</t>
  </si>
  <si>
    <t>Op-NBOI9-0083-CCVL</t>
  </si>
  <si>
    <t>Main-BOM5A-1098-PLCVL</t>
  </si>
  <si>
    <t>Op-BOM5A-1098-PLCVL</t>
  </si>
  <si>
    <t>Main-SBI5A-0870-Parli Civil</t>
  </si>
  <si>
    <t>Op-SBI5A-0870-Parli Civil</t>
  </si>
  <si>
    <t>Main-NBOM3-1101-PLCVL</t>
  </si>
  <si>
    <t>OP-NBOM3-1101-PLCVL</t>
  </si>
  <si>
    <t>Main-SBI5B-8198-Parli Civil</t>
  </si>
  <si>
    <t>Op-SBI5B-8198-Parli Civil</t>
  </si>
  <si>
    <t>Main-DENA2-3937-KDCVL</t>
  </si>
  <si>
    <t>Op-DENA2-3937-KDCVL</t>
  </si>
  <si>
    <t>Main-NDEN2-3938-KDCVL</t>
  </si>
  <si>
    <t>OP-NDEN2-3938-KDCVL</t>
  </si>
  <si>
    <t>Main-NDEN3-3800-KDCVL</t>
  </si>
  <si>
    <t>Op-NDEN3-3800-KDCVL</t>
  </si>
  <si>
    <t>Main-SBI3-0073-KCVL</t>
  </si>
  <si>
    <t>Op-SBI3-0073-KCVL</t>
  </si>
  <si>
    <t>Main-NSBI-1174-KCVL</t>
  </si>
  <si>
    <t>OP-NSBI-1174-KCVL</t>
  </si>
  <si>
    <t>Main -NSB15-8035-KCVL</t>
  </si>
  <si>
    <t>OP -NSB15-8035-KCVL</t>
  </si>
  <si>
    <t>Main-SBI4-0074-PSCVL</t>
  </si>
  <si>
    <t>Op-SBI4-0074-PSCVL</t>
  </si>
  <si>
    <t>Main-NSBI5-0063-PSCVL</t>
  </si>
  <si>
    <t>OP-NSBI5-0063-PSCVL</t>
  </si>
  <si>
    <t>Main-NSB12-0705-PSCVL</t>
  </si>
  <si>
    <t>OP-NSB12-0705-PSCVL</t>
  </si>
  <si>
    <t>Main-CBI1-6921-Bhusawal Civil</t>
  </si>
  <si>
    <t>Op-CBI1-6921-Bhusawal Civil</t>
  </si>
  <si>
    <t>Main-NCBI3-6932-Bhusawal Civil</t>
  </si>
  <si>
    <t>OP-NCBI3-6932-Bhusawal Civil</t>
  </si>
  <si>
    <t>Main-CBI5-1525-Dhule CVL</t>
  </si>
  <si>
    <t>OP-CBI5-1525-DHULE CVL</t>
  </si>
  <si>
    <t>Main-BOM5C-8039-PLCVL</t>
  </si>
  <si>
    <t>Op-BOM5C-8039-PLCVL</t>
  </si>
  <si>
    <t>Main-SBI6D-0620-KDCVL</t>
  </si>
  <si>
    <t>Op-SBI6D-0620-KDCVL</t>
  </si>
  <si>
    <t>Op-SBI6E-1023-KDCVL</t>
  </si>
  <si>
    <t>Current</t>
  </si>
  <si>
    <t>Non-Current</t>
  </si>
  <si>
    <t>LTL fm PFC - 21101011</t>
  </si>
  <si>
    <t>LTL fm PFC - 21101012</t>
  </si>
  <si>
    <t>LTL fm PFC - 21501001</t>
  </si>
  <si>
    <t>LTL fm PFC - 21501002</t>
  </si>
  <si>
    <t>LTL fm PFC - 21501003</t>
  </si>
  <si>
    <t>LTL fm PFC - 21104048</t>
  </si>
  <si>
    <t>LTL fm PFC - 21104049</t>
  </si>
  <si>
    <t>LTL fm PFC - 21104050</t>
  </si>
  <si>
    <t>LTL fm PFC - 21104051</t>
  </si>
  <si>
    <t>LTL fm PFC - 21104052</t>
  </si>
  <si>
    <t>LTL fm PFC - 21104053</t>
  </si>
  <si>
    <t>LTL fm PFC - 21104054</t>
  </si>
  <si>
    <t>LTL fm PFC - 21104062</t>
  </si>
  <si>
    <t>LTL fm PFC - 21105005</t>
  </si>
  <si>
    <t>LTL fm PFC - 21119010</t>
  </si>
  <si>
    <t>LTL fm PFC - 21504005</t>
  </si>
  <si>
    <t>LTL fm PFC - 21504006</t>
  </si>
  <si>
    <t>LTL fm PFC - 21101013</t>
  </si>
  <si>
    <t>LTL fm PFC - 21104064</t>
  </si>
  <si>
    <t>LTL fm PFC - 21104065</t>
  </si>
  <si>
    <t>LTL fm PFC - 21504007</t>
  </si>
  <si>
    <t>LTL fm PFC - 21504008</t>
  </si>
  <si>
    <t>LTL fm PFC - 21504009</t>
  </si>
  <si>
    <t>LTL fm PFC - 21504011</t>
  </si>
  <si>
    <t>LTL fm PFC - 21504012</t>
  </si>
  <si>
    <t>LTL fm PFC - 21504013</t>
  </si>
  <si>
    <t>LTL fm PFC - 21504015</t>
  </si>
  <si>
    <t>LTL fm PFC - 21504016</t>
  </si>
  <si>
    <t>LTL fm PFC - 21501005</t>
  </si>
  <si>
    <t>LTL fm PFC - 21504018</t>
  </si>
  <si>
    <t>LTL fm PFC - 21504017</t>
  </si>
  <si>
    <t>LTL frm PFC- 21501008-BSL Rep Proj(1x660 MW)</t>
  </si>
  <si>
    <t>LTL frm PFC- 21524001-Buyers Line of Credit for CA</t>
  </si>
  <si>
    <t>LTL frm PFC- 21504020 Parli TPS water Supply Schem</t>
  </si>
  <si>
    <t>LTL fm PFC-21504019 (R&amp;M of Koradi TPS Unit 5,6 &amp;7</t>
  </si>
  <si>
    <t>LTL fm PFC-21504021 (R&amp;M of Boiler &amp; Turbine impro</t>
  </si>
  <si>
    <t>LTL fm PFC-21504022 (R&amp;M of LP Turbine Retrofit of</t>
  </si>
  <si>
    <t>LTL fmPFC-21504023 (R&amp;M of C&amp;I system of Unit 5 &amp;6</t>
  </si>
  <si>
    <t>LTL fm PFC-21504024 (R&amp;M of Ash Handling System of</t>
  </si>
  <si>
    <t>LTL fm PFC-21504025 (R&amp;M of Condenser cooling syst</t>
  </si>
  <si>
    <t>LTL fm PFC-21504026 (R&amp;M of Complete Track Renewal</t>
  </si>
  <si>
    <t>LTL fm PFC-21504027 (R&amp;M of Fully Integrated Secur</t>
  </si>
  <si>
    <t>LTL fm PFC-21504028 (Procurement and replacement o</t>
  </si>
  <si>
    <t>PFC-21504029 (R&amp;M of Process improvement of Unit 3</t>
  </si>
  <si>
    <t>PFC-21504030 (R&amp;M of Measuring &amp; monitoring of Coa</t>
  </si>
  <si>
    <t>PFC-21504031 (R&amp;M of Boiler &amp; Turbine Improvement</t>
  </si>
  <si>
    <t>PFC-21504032 (R&amp;M of Turbine Auxiliary Performance</t>
  </si>
  <si>
    <t>PFC-21504033 (R&amp;M of Replacement of Economiser coi</t>
  </si>
  <si>
    <t>PFC-21504034 (R&amp;M of Replacement of BFP (200 KHI)</t>
  </si>
  <si>
    <t>PFC-21504035 (R&amp;M of various improvement schemes r</t>
  </si>
  <si>
    <t>PFC-21504036 (R&amp;M of Rail Tracks for Coal Handling</t>
  </si>
  <si>
    <t>PFC-21504037 (Renovation &amp; Up-gradation of GT Auto</t>
  </si>
  <si>
    <t>PFC-21504038 ((Procurement of High Pressure Turbin</t>
  </si>
  <si>
    <t>PFC-21504039 (R&amp;M of Turbine Auxiliary Consumption</t>
  </si>
  <si>
    <t>PFC-21504040 (Construction of Concrete Road from N</t>
  </si>
  <si>
    <t>PFC-21504041 (Construction of Coal platform for Ch</t>
  </si>
  <si>
    <t>PFC-21504042 (Expediting unloading of Coal Wagons</t>
  </si>
  <si>
    <t>PFC-21504043 (Various Schemes of KGSC, Pophali</t>
  </si>
  <si>
    <t>PFC-21504044 (Power supply arrangement at Colony</t>
  </si>
  <si>
    <t>PFC-21504045 (Various Schemes of Small Hydro Stati</t>
  </si>
  <si>
    <t>PFC-21504046 (R&amp;M work at Koyna HPS)</t>
  </si>
  <si>
    <t>PFC-21504047 (Various performance improvement sche</t>
  </si>
  <si>
    <t>PFC-21504048 ((Raising of Ash bund from 273.630m t</t>
  </si>
  <si>
    <t>PFC-21504049 (R&amp;M of CHP and Station requirement,</t>
  </si>
  <si>
    <t>PFC-21504050 (Plant performance, Raising of Ash bu</t>
  </si>
  <si>
    <t>PFC-21504051 (Various performance improvement sche</t>
  </si>
  <si>
    <t>PFC-21504052 (Procurement of Energy efficient HT M</t>
  </si>
  <si>
    <t>PFC-21504053  (Boiler Process improvement, Air-pre</t>
  </si>
  <si>
    <t>PFC-21504054 (Procurement, replacement &amp; performan</t>
  </si>
  <si>
    <t>PFC Loan No. 21504081 - Pipe Conveyor system for t</t>
  </si>
  <si>
    <t>MTL fm PFC -21571003 (MTL for Working C</t>
  </si>
  <si>
    <t>PFC LTL-21504092 (Capex-Paras TPS)</t>
  </si>
  <si>
    <t>PFC LTL-21504093 (Capex-Parli TPS)</t>
  </si>
  <si>
    <t>PFC LTL-21504098 (FGD install. Khaperkh</t>
  </si>
  <si>
    <t>PFC LTL-21504099 (FGD install. Koradi T</t>
  </si>
  <si>
    <t>PFC LTL-21504087 (FGD install. Paras TP</t>
  </si>
  <si>
    <t>Unsecured</t>
  </si>
  <si>
    <t>LTL fm PFC - 21101008</t>
  </si>
  <si>
    <t>LTL fm PFC - 21101009</t>
  </si>
  <si>
    <t>LTL fm PFC - 21101010</t>
  </si>
  <si>
    <t>LTL fm PFC - 21104023</t>
  </si>
  <si>
    <t>LTL fm PFC - 21104024</t>
  </si>
  <si>
    <t>LTL fm PFC - 21104025</t>
  </si>
  <si>
    <t>LTL fm PFC - 21104026</t>
  </si>
  <si>
    <t>LTL fm PFC - 21104027</t>
  </si>
  <si>
    <t>LTL fm PFC - 21104029</t>
  </si>
  <si>
    <t>LTL fm PFC - 21104030</t>
  </si>
  <si>
    <t>LTL fm PFC - 21104031</t>
  </si>
  <si>
    <t>LTL fm PFC - 21104032</t>
  </si>
  <si>
    <t>LTL fm PFC - 21104033</t>
  </si>
  <si>
    <t>LTL fm PFC - 21104034</t>
  </si>
  <si>
    <t>LTL fm PFC - 21104035</t>
  </si>
  <si>
    <t>LTL fm PFC - 21104036</t>
  </si>
  <si>
    <t>LTL fm PFC - 21104037</t>
  </si>
  <si>
    <t>LTL fm PFC - 21104038</t>
  </si>
  <si>
    <t>LTL fm PFC - 21104039</t>
  </si>
  <si>
    <t>LTL fm PFC - 21104041</t>
  </si>
  <si>
    <t>LTL fm PFC - 21104042</t>
  </si>
  <si>
    <t>LTL fm PFC - 21104043</t>
  </si>
  <si>
    <t>LTL fm PFC - 21104045</t>
  </si>
  <si>
    <t>LTL fm PFC - 21104046</t>
  </si>
  <si>
    <t>LTL fm PFC - 21104057</t>
  </si>
  <si>
    <t>LTL fm PFC - 21104059</t>
  </si>
  <si>
    <t>LTL fm PFC - 21104060</t>
  </si>
  <si>
    <t>LTL fm PFC - 21104061</t>
  </si>
  <si>
    <t>LTL fm PFC - 21104063</t>
  </si>
  <si>
    <t>LTL fm PFC - 21105004</t>
  </si>
  <si>
    <t>LTL fm PFC - 21105007</t>
  </si>
  <si>
    <t>LTL fm PFC - 21105008</t>
  </si>
  <si>
    <t>LTL fm PFC - 21119006</t>
  </si>
  <si>
    <t>LTL fm REC - C-90001</t>
  </si>
  <si>
    <t>LTL fm REC - C-90002</t>
  </si>
  <si>
    <t>LTL fm REC - C-90003</t>
  </si>
  <si>
    <t>REC-MH-6126 (Combustion Optimisation &amp; Process imp</t>
  </si>
  <si>
    <t>REC-MH-6135 (HP Turbine Module for Unit 1&amp;2 of Kha</t>
  </si>
  <si>
    <t>REC-MH-6138 (Burner Management System for Parli TP</t>
  </si>
  <si>
    <t>REC-MH-6139 (ESP Restoration for Unit 5,6 &amp; 7 - Ch</t>
  </si>
  <si>
    <t>REC-MH-6151 (Turbine Auxiliary Consumption improve</t>
  </si>
  <si>
    <t>REC-MH-6152 (Coal consumption measurement &amp; monito</t>
  </si>
  <si>
    <t>REC-MH-6155 (Combustion Optimisation &amp; Process imp</t>
  </si>
  <si>
    <t>REC-MH-6157 (Replacement of Economiser Upper &amp; Low</t>
  </si>
  <si>
    <t>REC-MH-6158 (Input Source Measurement for Chandrap</t>
  </si>
  <si>
    <t>LT Loan from REC-Debt Refinancing-Koradi Project</t>
  </si>
  <si>
    <t>STP Plant - Koradi Project REC-LT-12528</t>
  </si>
  <si>
    <t>REC LT -12856(Capex All TPS)</t>
  </si>
  <si>
    <t>REC LT -12881(Capex All TPS)</t>
  </si>
  <si>
    <t>REC LT -12882(Capex Bhusawal TPS)</t>
  </si>
  <si>
    <t>REC LT -12883(Capex Bhusawal TPS)</t>
  </si>
  <si>
    <t>REC LT -12884(Capex All TPS)</t>
  </si>
  <si>
    <t>REC LT -12885(Capex Chandrapur STPS)</t>
  </si>
  <si>
    <t>REC LT -12886(Capex Chandrapur STPS)</t>
  </si>
  <si>
    <t>REC LT -12887(Capex Chandrapur STPS)</t>
  </si>
  <si>
    <t>REC LT -12888(Capex Chandrapur STPS)</t>
  </si>
  <si>
    <t>REC LT -12889(Capex Chandrapur STPS)</t>
  </si>
  <si>
    <t>REC LT -12890(Capex Chandrapur STPS)</t>
  </si>
  <si>
    <t>REC LT -12891(Capex Chandrapur STPS)</t>
  </si>
  <si>
    <t>REC LT -12892(Capex Chandrapur STPS)</t>
  </si>
  <si>
    <t>REC LT -12893(Capex Chandrapur STPS)</t>
  </si>
  <si>
    <t>REC LT -12894(Capex Chandrapur STPS)</t>
  </si>
  <si>
    <t>REC LT -12895(Capex Khaperkheda TPS)</t>
  </si>
  <si>
    <t>REC LT -12896(Capex Khaperkheda TPS)</t>
  </si>
  <si>
    <t>REC LT -12897(Capex Khaperkheda TPS)</t>
  </si>
  <si>
    <t>REC LT -12898(Capex Khaperkheda TPS)</t>
  </si>
  <si>
    <t>REC LT -12899(Capex Khaperkheda TPS)</t>
  </si>
  <si>
    <t>REC LT -12901(Capex Koradi TPS)</t>
  </si>
  <si>
    <t>REC LT -12902(Capex Chandrapur STPS)</t>
  </si>
  <si>
    <t>REC LT -12903(Capex Nashik TPS)</t>
  </si>
  <si>
    <t>REC LT -12904(Capex Pophali HPS)</t>
  </si>
  <si>
    <t>REC LT -12906(Capex Nashik TPS)</t>
  </si>
  <si>
    <t>REC LT -12907(Capex Chandrapur STPS)</t>
  </si>
  <si>
    <t>REC LT -12909(Capex Nashik TPS)</t>
  </si>
  <si>
    <t>REC LT -12910(Capex Nashik TPS)</t>
  </si>
  <si>
    <t>REC LT -12912(Capex Nashik TPS)</t>
  </si>
  <si>
    <t>REC LT -12915(Capex Paras TPS)</t>
  </si>
  <si>
    <t>REC LT -12917(Capex Paras TPS)</t>
  </si>
  <si>
    <t>REC LT -12918(Capex Parli TPS)</t>
  </si>
  <si>
    <t>REC LT -12919(Capex Parli TPS)</t>
  </si>
  <si>
    <t>REC LT -12920(Capex Pophali HPS)</t>
  </si>
  <si>
    <t>REC LT -12921(Capex Uran GTPS)</t>
  </si>
  <si>
    <t>REC LT -12922(Capex Paras TPS)</t>
  </si>
  <si>
    <t>REC LT-12926 (Capex - All TPS)</t>
  </si>
  <si>
    <t>REC LT-12927 (Capex - Chandrapur STPS)</t>
  </si>
  <si>
    <t>REC LT-12928 (Capex - Chandrapur STPS)</t>
  </si>
  <si>
    <t>REC LT-12929(Capex - Chandrapur STPS)</t>
  </si>
  <si>
    <t>REC LT-12930(Capex - Khaperkheda TPS</t>
  </si>
  <si>
    <t>REC LT-12931(Capex - Khaperkheda TPS</t>
  </si>
  <si>
    <t>REC LT-12932 (Capex -  Koradi TPS)</t>
  </si>
  <si>
    <t>REC LT-12933(Capex - Nashik TPS)</t>
  </si>
  <si>
    <t>REC LT-12934(Capex - Paras TPS)</t>
  </si>
  <si>
    <t>REC LT-12935(Capex - Parli TPS)</t>
  </si>
  <si>
    <t>REC LT-12936(Capex - Parli TPS)</t>
  </si>
  <si>
    <t>REC LT-12937(Capex - Hydro Power Stations-Pune</t>
  </si>
  <si>
    <t>REC LT-12938(Capex - Koradi TPS)</t>
  </si>
  <si>
    <t>REC LT-13352(Capex - Bhusawal TPS)</t>
  </si>
  <si>
    <t>REC LT-13353(Capex - Bhusawal TPS)</t>
  </si>
  <si>
    <t>REC LT-13354(Capex - Nashik TPS)</t>
  </si>
  <si>
    <t>REC LT-13355 (Capex - Uran GTPS)</t>
  </si>
  <si>
    <t>REC LT-13356(Capex - Uran GTPS)</t>
  </si>
  <si>
    <t>REC LT-13357(Capex - Koyna HPS)</t>
  </si>
  <si>
    <t>REC LT-13358(Capex - Chandrapur STPS)</t>
  </si>
  <si>
    <t>REC LT-13359(Capex - Koyna HPS)</t>
  </si>
  <si>
    <t>REC LT-13360(Capex - Nashik TPS)</t>
  </si>
  <si>
    <t>REC LT-13361(Capex - Khaperkheda TPS)</t>
  </si>
  <si>
    <t>REC LT-13362(Capex - Koradi TPS)</t>
  </si>
  <si>
    <t>REC LT-13363(Capex - Parli TPS)</t>
  </si>
  <si>
    <t>REC LT-13364(Capex - Khaperkheda TPS)</t>
  </si>
  <si>
    <t>REC LT-13365(Capex - Khaperkheda TPS)</t>
  </si>
  <si>
    <t>REC LT-13366(Capex - Hydro Power Stations-Nashik)</t>
  </si>
  <si>
    <t>REC LT-13367(Capex - Khaperkheda TPS)</t>
  </si>
  <si>
    <t>REC LT-13399 (Project-Bhusawal Repl. U-6)</t>
  </si>
  <si>
    <t>REC LT - 13989 (Capex - All TPS)</t>
  </si>
  <si>
    <t>REC LT - 13991 (Capex - Khaperkheda TPS</t>
  </si>
  <si>
    <t>REC LT - 13992 (Capex - Chandrapur STPS)</t>
  </si>
  <si>
    <t>REC LT - 13993 (Capex - Chandrapur STPS</t>
  </si>
  <si>
    <t>REC LT - 13994 (Capex - Bhusawal TPS)</t>
  </si>
  <si>
    <t>REC LT - 14007 (Capex - Ghatghar HPS)</t>
  </si>
  <si>
    <t>REC LT - 14020 (Capex - Khaperkheda TPS</t>
  </si>
  <si>
    <t>REC LT - 14021 (Capex - Nashik HPC)</t>
  </si>
  <si>
    <t>REC LT - 14028 (Capex - Nashik TPS)</t>
  </si>
  <si>
    <t>REC LT - 14062 (Capex - Uran GTPS)</t>
  </si>
  <si>
    <t>REC LT - 14235 (Capex - Koradi TPS)</t>
  </si>
  <si>
    <t>REC LT - 14494 (Capex - Bhusawal TPS)</t>
  </si>
  <si>
    <t>REC LT - 14496 (Capex - Uran GTPS)</t>
  </si>
  <si>
    <t>REC LT - 14500 (Capex - Khaperkheda TPS)</t>
  </si>
  <si>
    <t>REC LT - 14501 (Capex - Paras TPS U-4)</t>
  </si>
  <si>
    <t>REC LT - 14544 (Capex - Bhusawal TPS)</t>
  </si>
  <si>
    <t>REC LT - 14606 (Capex - Parli TPS)</t>
  </si>
  <si>
    <t>REC LT - 14612 (Capex - Parli TPS)</t>
  </si>
  <si>
    <t>REC LT - 14660 (Capex - Koradi TPS)</t>
  </si>
  <si>
    <t>REC LT - 14661 (Capex - Koradi TPS)</t>
  </si>
  <si>
    <t>REC LT - 14663 (Capex - Koradi TPS)</t>
  </si>
  <si>
    <t>REC LT - 14749 (Capex - Nashik HPC)</t>
  </si>
  <si>
    <t>REC LT - 14750 (Capex - Bhusawal TPS)</t>
  </si>
  <si>
    <t>REC LT - 14751 (Capex - All TPS)</t>
  </si>
  <si>
    <t>REC LT - 14753 (Capex - Paras TPS U-3)</t>
  </si>
  <si>
    <t>REC LT - 14755 (Capex - Parli TPS)</t>
  </si>
  <si>
    <t>REC LT - 14756 (Capex - Koyna HPS)</t>
  </si>
  <si>
    <t>REC MTL for WC 14843</t>
  </si>
  <si>
    <t>REC LT-15220-A3 (Chandrapur Proj)</t>
  </si>
  <si>
    <t>REC LT-14497 (Capex-Koyna HPS)</t>
  </si>
  <si>
    <t>REC LT-14498 (Capex-Koradi TPS)</t>
  </si>
  <si>
    <t>REC LT-14662(Capex-Koradi TPS)</t>
  </si>
  <si>
    <t>REC LT-14754(Capex-Paras TPS)</t>
  </si>
  <si>
    <t>REC LT-15058(Capex-Uran GTPS)</t>
  </si>
  <si>
    <t>REC LT-15061(Capex-Koradi TPS)</t>
  </si>
  <si>
    <t>REC LT-15064(Capex-Parli TPS)</t>
  </si>
  <si>
    <t>REC LT-15065(Capex-Parli TPS)</t>
  </si>
  <si>
    <t>REC LT-15066(Capex-Koyna HPS)</t>
  </si>
  <si>
    <t>REC LT-15248(Capex-Koradi TPS)</t>
  </si>
  <si>
    <t>REC LT-15249(Capex-Parli TPS)</t>
  </si>
  <si>
    <t>REC LT-15270(Capex-Koradi TPS)</t>
  </si>
  <si>
    <t>REC LT-15439(Capex-Chandrapur STPS)</t>
  </si>
  <si>
    <t>REC LT-15441(Capex-Khaperkheda TPS)</t>
  </si>
  <si>
    <t>REC LT-15442(Capex-Khaperkheda TPS)</t>
  </si>
  <si>
    <t>REC LT-15444(Capex-Koradi TPS)</t>
  </si>
  <si>
    <t>REC MTL-15798 Working Capital</t>
  </si>
  <si>
    <t>REC MTL - Scheme 16035</t>
  </si>
  <si>
    <t>REC-14944 (Installation of FGD at Korad</t>
  </si>
  <si>
    <t>REC MTL-17111(For Import Coal)</t>
  </si>
  <si>
    <t>PFC MTL-21571004(For Import Coal)</t>
  </si>
  <si>
    <t>PFC MTL-21571005(For Import Coal)</t>
  </si>
  <si>
    <t xml:space="preserve">Current </t>
  </si>
  <si>
    <t>Less Provision</t>
  </si>
  <si>
    <t>Non Current</t>
  </si>
  <si>
    <t>Advance to O&amp;M Supplier</t>
  </si>
  <si>
    <t>Advance to Irrigation Dept. Net of Liability</t>
  </si>
  <si>
    <t>Liability against Irrigation department for Water charges (G/L 99231)</t>
  </si>
  <si>
    <t>Advance to fuel suppliers</t>
  </si>
  <si>
    <t>BDD</t>
  </si>
  <si>
    <t>ECL</t>
  </si>
  <si>
    <t>Trade Receivable</t>
  </si>
  <si>
    <t>Subsidiaries</t>
  </si>
  <si>
    <t>Less:- Expected Credit Loss on above</t>
  </si>
  <si>
    <t>Total A+B+C+D</t>
  </si>
  <si>
    <t>Vendor ID</t>
  </si>
  <si>
    <t>Vendor Name</t>
  </si>
  <si>
    <t>G/L</t>
  </si>
  <si>
    <t>G/L Description</t>
  </si>
  <si>
    <t>Amount</t>
  </si>
  <si>
    <t>MSEDCL</t>
  </si>
  <si>
    <t>Deposits paid by MAHAGENCO</t>
  </si>
  <si>
    <t>*</t>
  </si>
  <si>
    <t>Advance to suppliers</t>
  </si>
  <si>
    <t>MSETCL</t>
  </si>
  <si>
    <t>MSEB Holding Co.</t>
  </si>
  <si>
    <t>MAHARASHTRA STATE HOLDING COMPANY</t>
  </si>
  <si>
    <t>Related Party Cutomers</t>
  </si>
  <si>
    <t>Customer ID</t>
  </si>
  <si>
    <t>Customer Name</t>
  </si>
  <si>
    <t>MAHARASHTRA STATE ELECTRICITY DISTRIBUTION COMPANY LIMITED</t>
  </si>
  <si>
    <t>Debtors for revenue from sale of power</t>
  </si>
  <si>
    <t>MSEDCL Dhule (125MW)</t>
  </si>
  <si>
    <t>MSEDCL Baramati (50MW)</t>
  </si>
  <si>
    <t>MSEDCL Chnadrapur (1MW)</t>
  </si>
  <si>
    <t>THE CHIEF ENGINEER (RENEWABLE 7MW</t>
  </si>
  <si>
    <t>MSEDCL VASAI</t>
  </si>
  <si>
    <t>Executive Engineer, Bhandara</t>
  </si>
  <si>
    <t>AR-Others</t>
  </si>
  <si>
    <t>Dy. Executive Engineer, Parbhani</t>
  </si>
  <si>
    <t>Executive Engineer, Nagpur</t>
  </si>
  <si>
    <t>31389</t>
  </si>
  <si>
    <t>EXECUTIVE ENGINEER MSEDCL</t>
  </si>
  <si>
    <t>DCUSADV_RQ</t>
  </si>
  <si>
    <t>30947</t>
  </si>
  <si>
    <t>MSEDCL AURANGABAD</t>
  </si>
  <si>
    <t>MSEDCL ULHASNAGAR DIVISION</t>
  </si>
  <si>
    <t>MSEDCL Kalyan R Division</t>
  </si>
  <si>
    <t xml:space="preserve"> MSEDCL THANE URBAN CIRCLE</t>
  </si>
  <si>
    <t>MSEDCL PALGHAR</t>
  </si>
  <si>
    <t xml:space="preserve"> MSEDCL PANVEL URBAN CIRCLE</t>
  </si>
  <si>
    <t xml:space="preserve"> MSEDCL Ulhasnagar Div II</t>
  </si>
  <si>
    <t xml:space="preserve"> MSEDCL KANNAD</t>
  </si>
  <si>
    <t xml:space="preserve"> Sub-Total</t>
  </si>
  <si>
    <t>THE CHIEF ENGINEER (STU) MUMBAI -For reactive power</t>
  </si>
  <si>
    <t>Chief Engineer NAVI MUMBAI - For reactive power</t>
  </si>
  <si>
    <t>THE CHIEF ENGINEER STATE LOAD DISPATCH CENTRE</t>
  </si>
  <si>
    <t>URAN GTPS TRANSCO CUSTOMER</t>
  </si>
  <si>
    <t>Receivable-Power dom</t>
  </si>
  <si>
    <t>MAHAGENCO Profit &amp; Loss Grouping</t>
  </si>
  <si>
    <t>Gross Sale of Products</t>
  </si>
  <si>
    <t>Energy Charges</t>
  </si>
  <si>
    <t>Demand Charges</t>
  </si>
  <si>
    <t>Fuel Adjustment cost</t>
  </si>
  <si>
    <t>Add Supply Charges</t>
  </si>
  <si>
    <t>TOD Tariff EC - Other Customers</t>
  </si>
  <si>
    <t>P.F.Charges / Incentive</t>
  </si>
  <si>
    <t>Deviation Settlement Mechanism</t>
  </si>
  <si>
    <t>VSE Charges-Income</t>
  </si>
  <si>
    <t>Reactive Power</t>
  </si>
  <si>
    <t>Sale of Power- AG Solar</t>
  </si>
  <si>
    <t>Infirm Power</t>
  </si>
  <si>
    <t>Sale of Power FAC</t>
  </si>
  <si>
    <t>PLF Incentive process</t>
  </si>
  <si>
    <t>Revenue subsidy and grants</t>
  </si>
  <si>
    <t>Late Payment Surcharge</t>
  </si>
  <si>
    <t>Sale of Fly.Ash</t>
  </si>
  <si>
    <t>Sale of Ash Road usage charges</t>
  </si>
  <si>
    <t>Sale of ash Electricity charges</t>
  </si>
  <si>
    <t>Sale of Ash - Infrasructure &amp; Development charges</t>
  </si>
  <si>
    <t>Interest on Deposits</t>
  </si>
  <si>
    <t>Interest on advance to employee -Recd</t>
  </si>
  <si>
    <t>Income from Investments</t>
  </si>
  <si>
    <t xml:space="preserve">Interest on securities </t>
  </si>
  <si>
    <t>Interest on advances to suppliers</t>
  </si>
  <si>
    <t>Interest in FD – Chandrapur 50 MLD STP</t>
  </si>
  <si>
    <t>Int in FD – Cash Margin for issue of Li</t>
  </si>
  <si>
    <t>Rental from contractors</t>
  </si>
  <si>
    <t>Land charges fm Contractors &amp; others</t>
  </si>
  <si>
    <t>Income rentals from staff quarter</t>
  </si>
  <si>
    <t>Grd rent on material lying in stores</t>
  </si>
  <si>
    <t>Revenue from sale of assets</t>
  </si>
  <si>
    <t>Sale of scrap</t>
  </si>
  <si>
    <t>Delayed payment charges</t>
  </si>
  <si>
    <t>Income on Energy saving certificate trading</t>
  </si>
  <si>
    <t>Registration fees</t>
  </si>
  <si>
    <t xml:space="preserve">Rebate / Discount earned   </t>
  </si>
  <si>
    <t>Recruitment- exam fees</t>
  </si>
  <si>
    <t>Income from Services</t>
  </si>
  <si>
    <t>HR Deputation</t>
  </si>
  <si>
    <t>HR Training Service</t>
  </si>
  <si>
    <t>Miscellaneous receipts</t>
  </si>
  <si>
    <t>Income of LD recovery</t>
  </si>
  <si>
    <t xml:space="preserve">Profit / Loss on Exchange variance                </t>
  </si>
  <si>
    <t xml:space="preserve">Loss on obsolescence of stores                    </t>
  </si>
  <si>
    <t>Unwinding of Grant</t>
  </si>
  <si>
    <t xml:space="preserve">Consumption Coal - Raw                            </t>
  </si>
  <si>
    <t>Consumption Coal - Washed</t>
  </si>
  <si>
    <t xml:space="preserve">Consumption Coal - Imported                       </t>
  </si>
  <si>
    <t xml:space="preserve">Coal handling contract charges                    </t>
  </si>
  <si>
    <t xml:space="preserve">Demurrage on coal wagons                          </t>
  </si>
  <si>
    <t xml:space="preserve">Siding charges                                    </t>
  </si>
  <si>
    <t xml:space="preserve">Payments to railway staff                         </t>
  </si>
  <si>
    <t>Payments to railway staff-Fixed</t>
  </si>
  <si>
    <t xml:space="preserve">Con-Other coal related costs                      </t>
  </si>
  <si>
    <t xml:space="preserve">Other coal related costs                          </t>
  </si>
  <si>
    <t xml:space="preserve">Stock shortages on physical verification of coal  </t>
  </si>
  <si>
    <t>Freight on Wash Coal Purchase</t>
  </si>
  <si>
    <t>Price Difference A/C - Coal</t>
  </si>
  <si>
    <t xml:space="preserve">Change in Inventory A/c                           </t>
  </si>
  <si>
    <t>Cost of Generation during trial stage</t>
  </si>
  <si>
    <t xml:space="preserve">Price Diff-chemicals, spares, medicines etc       </t>
  </si>
  <si>
    <t xml:space="preserve">Material Variance cost - Capital                  </t>
  </si>
  <si>
    <t xml:space="preserve">Coal cost variance A/c Dr. / Cr.                  </t>
  </si>
  <si>
    <t xml:space="preserve">Other fuel cost variance A/c Dr. / Cr.            </t>
  </si>
  <si>
    <t>Project - Material</t>
  </si>
  <si>
    <t>Project - Services</t>
  </si>
  <si>
    <t>Proj-Price diff</t>
  </si>
  <si>
    <t xml:space="preserve">    IPP Purchase of coal</t>
  </si>
  <si>
    <t xml:space="preserve">Gas-Internal Combustion                           </t>
  </si>
  <si>
    <t xml:space="preserve">Price Difference A/C - Gas                        </t>
  </si>
  <si>
    <t xml:space="preserve">Consumption Furnace oil                           </t>
  </si>
  <si>
    <t xml:space="preserve">Consumption of Light Diesel oil                   </t>
  </si>
  <si>
    <t xml:space="preserve">Consumption High Speed Diesel Oil                 </t>
  </si>
  <si>
    <t xml:space="preserve">Consumption of Oil ( Other )                      </t>
  </si>
  <si>
    <t xml:space="preserve">Oil handling contract charges                     </t>
  </si>
  <si>
    <t xml:space="preserve">Demurrage on oil receipts                         </t>
  </si>
  <si>
    <t>Commission to agents-Fixed</t>
  </si>
  <si>
    <t xml:space="preserve">Stock shortages on physical verification of oil   </t>
  </si>
  <si>
    <t xml:space="preserve">Price Difference A/C - Oil                        </t>
  </si>
  <si>
    <t xml:space="preserve">Price Difference A/C - Raw Water                  </t>
  </si>
  <si>
    <t xml:space="preserve">Cost of water - Raw                               </t>
  </si>
  <si>
    <t xml:space="preserve">Other Water related Costs                         </t>
  </si>
  <si>
    <t xml:space="preserve">Consumption-Chemical WTP                          </t>
  </si>
  <si>
    <t xml:space="preserve">Water cost variance A/c Dr. / Cr.                 </t>
  </si>
  <si>
    <t xml:space="preserve">    Salaries, Wages, Bonus, etc.</t>
  </si>
  <si>
    <t xml:space="preserve">Basic Salary                                      </t>
  </si>
  <si>
    <t xml:space="preserve">Grade Pay MG                                      </t>
  </si>
  <si>
    <t xml:space="preserve">Salaries- Apprentice                              </t>
  </si>
  <si>
    <t xml:space="preserve">Over Time                                         </t>
  </si>
  <si>
    <t xml:space="preserve">Dearness Allowance                                </t>
  </si>
  <si>
    <t xml:space="preserve">Other Allowances                                  </t>
  </si>
  <si>
    <t>Additional . Allowance - (Class-IV)</t>
  </si>
  <si>
    <t>System Allowance for Management cadre</t>
  </si>
  <si>
    <t xml:space="preserve">Fringe Benefit Allowance (FBA)                    </t>
  </si>
  <si>
    <t>Fringe Benefit (Admin)</t>
  </si>
  <si>
    <t>Fringe Benefit (Field)</t>
  </si>
  <si>
    <t xml:space="preserve">Rewards                                           </t>
  </si>
  <si>
    <t xml:space="preserve">Bonus &amp; Incentive                                 </t>
  </si>
  <si>
    <t xml:space="preserve">Ex-gratia Payments                                </t>
  </si>
  <si>
    <t>Ex-gratia Payment for Covid 19</t>
  </si>
  <si>
    <t xml:space="preserve">       Contribution to Provident Fund </t>
  </si>
  <si>
    <t xml:space="preserve">       Gratuity, Leave Encashment  and Other                                                 
       Employee Benefits</t>
  </si>
  <si>
    <t xml:space="preserve">Earned Leave encashment                           </t>
  </si>
  <si>
    <t xml:space="preserve">Leave Encashment of Retirement                    </t>
  </si>
  <si>
    <t xml:space="preserve">Terminal Benefits Gratuity                        </t>
  </si>
  <si>
    <t xml:space="preserve">Short fall in P.F.Plan Assets                     </t>
  </si>
  <si>
    <t>DCPS Boards contribution Terminal Benefits</t>
  </si>
  <si>
    <t>ER CPF Share on Arrears</t>
  </si>
  <si>
    <t xml:space="preserve">    Employee Welfare Expenses</t>
  </si>
  <si>
    <t xml:space="preserve">Reimbursement of Expenses to Employees            </t>
  </si>
  <si>
    <t xml:space="preserve">Leave Travel Assistance                           </t>
  </si>
  <si>
    <t xml:space="preserve">Rent Expenditure for Employees Quarter            </t>
  </si>
  <si>
    <t xml:space="preserve">Honorarium                                        </t>
  </si>
  <si>
    <t xml:space="preserve">Remuneration for paper setting                    </t>
  </si>
  <si>
    <t xml:space="preserve">Staff Training Expenses                           </t>
  </si>
  <si>
    <t xml:space="preserve">IT payt-MSPGCL-Emp Perks                          </t>
  </si>
  <si>
    <t xml:space="preserve">Payment under Workmen's Compensation Act          </t>
  </si>
  <si>
    <t xml:space="preserve">Boards contribution under Welfare Act             </t>
  </si>
  <si>
    <t xml:space="preserve">Admin Ch. Emp Dep linked insu Scheme              </t>
  </si>
  <si>
    <t>Medicine Consumption PO Based</t>
  </si>
  <si>
    <t xml:space="preserve">Medical Expenses                                  </t>
  </si>
  <si>
    <t xml:space="preserve">Canteen Expenses                                  </t>
  </si>
  <si>
    <t xml:space="preserve">Con-Canteen Expenses                              </t>
  </si>
  <si>
    <t xml:space="preserve">Staff Welfare                                     </t>
  </si>
  <si>
    <t xml:space="preserve">Other Welfare Expenses                            </t>
  </si>
  <si>
    <t>Insurance premium payable under LIC group Team ass</t>
  </si>
  <si>
    <t>Contri-M.S.E.B Employees' Dependents Welfare Trust</t>
  </si>
  <si>
    <t xml:space="preserve">PF inspection n audit charges                     </t>
  </si>
  <si>
    <t xml:space="preserve">Pension paid to Ex-employees                      </t>
  </si>
  <si>
    <t>Covid 19 Compensation</t>
  </si>
  <si>
    <t xml:space="preserve">Interest on Long Term Loans                       </t>
  </si>
  <si>
    <t>Interest on CC / OD</t>
  </si>
  <si>
    <t>Interest on STL WC</t>
  </si>
  <si>
    <t xml:space="preserve">Interest on STL CAPEX / Projects / Others         </t>
  </si>
  <si>
    <t>Interest on MTL for WC</t>
  </si>
  <si>
    <t xml:space="preserve">Interest on Short Term Loans                      </t>
  </si>
  <si>
    <t xml:space="preserve">Interest on LTL Others                            </t>
  </si>
  <si>
    <t xml:space="preserve">Interest to Vendors – MSME                        </t>
  </si>
  <si>
    <t xml:space="preserve">Interest to vendors – Other than MSME Vendors     </t>
  </si>
  <si>
    <t>Interest to Vendors â Baramati Solar</t>
  </si>
  <si>
    <t>Cost of raising finance - Stamp Duty</t>
  </si>
  <si>
    <t>Penal Interest</t>
  </si>
  <si>
    <t>Interest on late payment of Income Tax</t>
  </si>
  <si>
    <t>Interest on late payment of GST</t>
  </si>
  <si>
    <t>Interest on Lease Liability</t>
  </si>
  <si>
    <t xml:space="preserve">Cost of raising finance - Service Fees            </t>
  </si>
  <si>
    <t xml:space="preserve">Cost of raising finance - Commitment Charges      </t>
  </si>
  <si>
    <t xml:space="preserve">Government guarantee fees                         </t>
  </si>
  <si>
    <t>Government Inspection fees for company's installat</t>
  </si>
  <si>
    <t>Repairs and Maintenance on:-</t>
  </si>
  <si>
    <t>Plant &amp; machinery &amp; Building</t>
  </si>
  <si>
    <t xml:space="preserve">Steel Consumption - PO based                      </t>
  </si>
  <si>
    <t xml:space="preserve">Steel Consumption ( Non PO )                      </t>
  </si>
  <si>
    <t xml:space="preserve">Contractors charges                               </t>
  </si>
  <si>
    <t xml:space="preserve">Cement Consumption PO Based                       </t>
  </si>
  <si>
    <t xml:space="preserve">Spares Consumption - PO Based                     </t>
  </si>
  <si>
    <t xml:space="preserve">Spares - Material Non PO                          </t>
  </si>
  <si>
    <t>Ash Handling Expenses</t>
  </si>
  <si>
    <t xml:space="preserve">Cable Network - PO Based                          </t>
  </si>
  <si>
    <t xml:space="preserve">Cable Network consumption - Non PO                </t>
  </si>
  <si>
    <t>Material Consumption for Pollution Control</t>
  </si>
  <si>
    <t>Pollution Control Services Expenses</t>
  </si>
  <si>
    <t xml:space="preserve">Insurance on fixed Assets                         </t>
  </si>
  <si>
    <t xml:space="preserve">Transit Insurance                                 </t>
  </si>
  <si>
    <t>Lubricants, consumables &amp; stores including obsolescence</t>
  </si>
  <si>
    <t xml:space="preserve">Consumption Lubricants &amp; consumables              </t>
  </si>
  <si>
    <t xml:space="preserve">Material Variance cost - O &amp; M                    </t>
  </si>
  <si>
    <t xml:space="preserve">Legal charges                                     </t>
  </si>
  <si>
    <t xml:space="preserve">Technical fees                                    </t>
  </si>
  <si>
    <t xml:space="preserve">Consultancy &amp; Other Professional charges          </t>
  </si>
  <si>
    <t>Bank Charges</t>
  </si>
  <si>
    <t xml:space="preserve">Bank Charges - for issue of LC / BG               </t>
  </si>
  <si>
    <t>Impairment of Financial Instrument</t>
  </si>
  <si>
    <t>Security measures for safety and protection contra</t>
  </si>
  <si>
    <t xml:space="preserve">Con-Tel &amp; Mobile Exp                              </t>
  </si>
  <si>
    <t xml:space="preserve">Telephones and Mobile Expenses                    </t>
  </si>
  <si>
    <t xml:space="preserve">Postage and Telegrams                             </t>
  </si>
  <si>
    <t xml:space="preserve">Directors Sitting Fees                            </t>
  </si>
  <si>
    <t xml:space="preserve">Audit Expenses                                    </t>
  </si>
  <si>
    <t xml:space="preserve">Conveyance Expenses                               </t>
  </si>
  <si>
    <t xml:space="preserve">Travelling Expenses                               </t>
  </si>
  <si>
    <t xml:space="preserve">Vehicle running expenses - Petrol &amp; Oil           </t>
  </si>
  <si>
    <t xml:space="preserve">Vehicle licence and Registration fees             </t>
  </si>
  <si>
    <t>Facilitation fees to MAHAGAMS</t>
  </si>
  <si>
    <t xml:space="preserve">Fees &amp; subscription                               </t>
  </si>
  <si>
    <t xml:space="preserve">Books &amp; periodicals                               </t>
  </si>
  <si>
    <t xml:space="preserve">Printing &amp; stationery                             </t>
  </si>
  <si>
    <t xml:space="preserve">Office Stationery                                 </t>
  </si>
  <si>
    <t xml:space="preserve">Advertisement expenses                            </t>
  </si>
  <si>
    <t xml:space="preserve">Electricity charges                               </t>
  </si>
  <si>
    <t xml:space="preserve">Con- Entertainment                                </t>
  </si>
  <si>
    <t xml:space="preserve">Entertainment                                     </t>
  </si>
  <si>
    <t xml:space="preserve">Con-Expd on meeting conference etc                </t>
  </si>
  <si>
    <t xml:space="preserve">Expenditure on meetings conferences etc           </t>
  </si>
  <si>
    <t xml:space="preserve">Consumption - Upkeep of office                    </t>
  </si>
  <si>
    <t xml:space="preserve">Expn On Consumer Billing                          </t>
  </si>
  <si>
    <t xml:space="preserve">Con-Security meas for safety &amp; protectio contract </t>
  </si>
  <si>
    <t xml:space="preserve">Miscellaneous exp                                 </t>
  </si>
  <si>
    <t xml:space="preserve">Rescheduling Charges                              </t>
  </si>
  <si>
    <t xml:space="preserve">Frieght                                           </t>
  </si>
  <si>
    <t>Vehicle running expenses - truck and delivery vans</t>
  </si>
  <si>
    <t xml:space="preserve">Octroi                                            </t>
  </si>
  <si>
    <t>Advertisement of tenders / notices and other purch</t>
  </si>
  <si>
    <t xml:space="preserve">Incidental Stores &amp; Material related Expenses     </t>
  </si>
  <si>
    <t>Expences on Energy saving certificate trading</t>
  </si>
  <si>
    <t>Price variation 76 Group</t>
  </si>
  <si>
    <t xml:space="preserve">Shortage on physical verification of Stocks       </t>
  </si>
  <si>
    <t xml:space="preserve">Compensation-injuries Death and damages - Staff   </t>
  </si>
  <si>
    <t>Compensation for injuries Death and damages - othe</t>
  </si>
  <si>
    <t xml:space="preserve">Loss due to theft or natural calamities           </t>
  </si>
  <si>
    <t xml:space="preserve">Write off deferred revenue expenditure            </t>
  </si>
  <si>
    <t xml:space="preserve">Difference due to rounding off                    </t>
  </si>
  <si>
    <t xml:space="preserve">Loss on sale of Fixed Assets                 </t>
  </si>
  <si>
    <t>Wealth Tax Expenditure</t>
  </si>
  <si>
    <t>Ash Utilisation Expenditure</t>
  </si>
  <si>
    <t>Loss due to scrapping</t>
  </si>
  <si>
    <t>Loss on foreign exchange variance (Net)</t>
  </si>
  <si>
    <t xml:space="preserve">    Payments to the auditors for:</t>
  </si>
  <si>
    <t xml:space="preserve">         - Audit Fees </t>
  </si>
  <si>
    <t xml:space="preserve">         - other Services</t>
  </si>
  <si>
    <t xml:space="preserve">         - Reimbursement of expenses</t>
  </si>
  <si>
    <t xml:space="preserve">         - Reimbursement of GST</t>
  </si>
  <si>
    <t>Depreciation &amp; Amortization Expense</t>
  </si>
  <si>
    <t>Depreciation on Tangible Assets</t>
  </si>
  <si>
    <t>Amortization - Leasehold land</t>
  </si>
  <si>
    <t>Depreciation on Factory Buildings</t>
  </si>
  <si>
    <t>Depreciation on Other Buildings</t>
  </si>
  <si>
    <t>Depreciation on Hydraulic works</t>
  </si>
  <si>
    <t>Depreciation on Railway Sidings</t>
  </si>
  <si>
    <t>Depreciation on Roads &amp; Others</t>
  </si>
  <si>
    <t>Depreciation on Plant &amp; Machinary</t>
  </si>
  <si>
    <t>Depreciation on Plant &amp; Machinary OH</t>
  </si>
  <si>
    <t>Depreciation on Line cabels &amp; network</t>
  </si>
  <si>
    <t>Depreciation on Vehicles</t>
  </si>
  <si>
    <t>Depreciation on Furniture &amp; Fixtures</t>
  </si>
  <si>
    <t>Depreciation on Office equipment</t>
  </si>
  <si>
    <t>Depreciation on assets Not belonging to MAHAGENCO</t>
  </si>
  <si>
    <t>Amortization on Intagible Assets</t>
  </si>
  <si>
    <t xml:space="preserve">Prior Period Income </t>
  </si>
  <si>
    <t>Prior Period Income - Depreciation</t>
  </si>
  <si>
    <t>Prior Period Income - Other Miscellaneous receipts</t>
  </si>
  <si>
    <t>Prior Period Income-Sale of power</t>
  </si>
  <si>
    <t>Prior Period Income-Sale of Scrap</t>
  </si>
  <si>
    <t>Prior Period Income-Sale of Reject coal</t>
  </si>
  <si>
    <t>Prior Period Income-Rent</t>
  </si>
  <si>
    <t>Prior Period Income-Sale of fly ash</t>
  </si>
  <si>
    <t>Prior Period Income-Interest</t>
  </si>
  <si>
    <t>Prior Period Expenditure</t>
  </si>
  <si>
    <t>Prior Period Expenditure Depreciation</t>
  </si>
  <si>
    <t>Prior Period Expenditure Operating</t>
  </si>
  <si>
    <t>Prior Period Expenditure Fuel</t>
  </si>
  <si>
    <t>Prior Period Expenditure Freight</t>
  </si>
  <si>
    <t>Prior Period Expenditure R&amp;M</t>
  </si>
  <si>
    <t>Prior Period Expenditure Employee</t>
  </si>
  <si>
    <t>Prior Period Expenditure Admin</t>
  </si>
  <si>
    <t>Prior Period Expenditure Interest</t>
  </si>
  <si>
    <t>Prior-period Amortization - Leasehold land</t>
  </si>
  <si>
    <t>Prior-period Depreciation on Factory Buildings</t>
  </si>
  <si>
    <t>Prior-period Depreciation on Other Buildings</t>
  </si>
  <si>
    <t>Prior-period Depreciation on Hydraulic works</t>
  </si>
  <si>
    <t>Prior-period Depreciation on Railway Sidings</t>
  </si>
  <si>
    <t>Prior-period Depreciation on Roads &amp; Others</t>
  </si>
  <si>
    <t>Prior-period Depreciation on Plant &amp; Machinary</t>
  </si>
  <si>
    <t>Prior-period Depreciation on Line cabels &amp; network</t>
  </si>
  <si>
    <t>Prior-period Depreciation on Vehicles</t>
  </si>
  <si>
    <t>Prior-period Depreciation on Furniture &amp; Fixtures</t>
  </si>
  <si>
    <t>Prior-period Depreciation on Office equipment</t>
  </si>
  <si>
    <t>Prior-period Depreciation on assets Not belonging</t>
  </si>
  <si>
    <t>Prior-period Amortization on Intagible Assets</t>
  </si>
  <si>
    <t>Tax Expenses</t>
  </si>
  <si>
    <t>Income Tax Expenditure</t>
  </si>
  <si>
    <t>Deferred tax expenditure</t>
  </si>
  <si>
    <t>STATEMENT OF CHANGES IN EQUITY</t>
  </si>
  <si>
    <t>I. Equity Share Capital</t>
  </si>
  <si>
    <t>Amount (Rs. Crores)</t>
  </si>
  <si>
    <t>As on 31.03.2021</t>
  </si>
  <si>
    <t>Changes in accounting policy or prior period errors</t>
  </si>
  <si>
    <t>Restated balance as on 01-04-2021</t>
  </si>
  <si>
    <t>Changes in Equity share capital</t>
  </si>
  <si>
    <t>As at 31.03.2022</t>
  </si>
  <si>
    <t>As at 31.03.2023</t>
  </si>
  <si>
    <t>II. Other Equity</t>
  </si>
  <si>
    <t>Retained earnings</t>
  </si>
  <si>
    <t>Total Other Equity</t>
  </si>
  <si>
    <t>Profit or Loss for the year</t>
  </si>
  <si>
    <t>Other Comprehensive income for the year</t>
  </si>
  <si>
    <t>Addition to share application money</t>
  </si>
  <si>
    <t>Shares Alotted during the year</t>
  </si>
  <si>
    <t>Restated balance as on 01-04-2022</t>
  </si>
  <si>
    <r>
      <t>Mumbai, 12</t>
    </r>
    <r>
      <rPr>
        <vertAlign val="superscript"/>
        <sz val="10"/>
        <rFont val="Arial"/>
        <family val="2"/>
      </rPr>
      <t>th</t>
    </r>
    <r>
      <rPr>
        <sz val="10"/>
        <rFont val="Arial"/>
        <family val="2"/>
      </rPr>
      <t xml:space="preserve"> October, 2023</t>
    </r>
  </si>
  <si>
    <r>
      <t>Cash  Flow  Statement For The Year Ended 31</t>
    </r>
    <r>
      <rPr>
        <b/>
        <vertAlign val="superscript"/>
        <sz val="12"/>
        <rFont val="Arial"/>
        <family val="2"/>
      </rPr>
      <t>st</t>
    </r>
    <r>
      <rPr>
        <b/>
        <sz val="12"/>
        <rFont val="Arial"/>
        <family val="2"/>
      </rPr>
      <t xml:space="preserve"> March, 2023</t>
    </r>
  </si>
  <si>
    <t xml:space="preserve">2021-2022         </t>
  </si>
  <si>
    <t>A. Cash Flow From Operating Activities</t>
  </si>
  <si>
    <t xml:space="preserve">Profit/(Loss) after Tax </t>
  </si>
  <si>
    <t>Adjustments to reconcile profit before tax to net cash used in operating activities:</t>
  </si>
  <si>
    <t>Depreciation/ impairment on property, plant and equipment &amp; Intangible Assets</t>
  </si>
  <si>
    <t>Interest income from  Preference Shares</t>
  </si>
  <si>
    <t>(Gain)/loss on sale of property, plant and equipment</t>
  </si>
  <si>
    <t>Remeasurement of Defined benefit plans Gain / (Loss)</t>
  </si>
  <si>
    <t>Amortisation of Foreign Currency Monetary Item Translation Difference</t>
  </si>
  <si>
    <t xml:space="preserve">Spares Written off </t>
  </si>
  <si>
    <t xml:space="preserve">Impairment in Value of Investments </t>
  </si>
  <si>
    <t>Fair value gain on Current Investments carried at FVTPL</t>
  </si>
  <si>
    <t xml:space="preserve">(Profit)/Loss on Sale of Current Investment </t>
  </si>
  <si>
    <t>Finance Costs</t>
  </si>
  <si>
    <t>Operating Profit before Changes in Working Capital {Sub Total - (i)}</t>
  </si>
  <si>
    <t>Movements in working capital</t>
  </si>
  <si>
    <t xml:space="preserve">(Increase) / Decrease in Trade Receivables </t>
  </si>
  <si>
    <t>(Increase) / Decrease in Loans and Advances and Other Assets</t>
  </si>
  <si>
    <t xml:space="preserve">(Increase) /Decrease in Inventories </t>
  </si>
  <si>
    <t>Sub Total - (ii)</t>
  </si>
  <si>
    <t>Cash Generated from Operations (i) + (ii)</t>
  </si>
  <si>
    <t xml:space="preserve">Less : Direct Taxes / FBT refund / (paid) - Net  </t>
  </si>
  <si>
    <t>Net Cash from Operating Activities        ( A )</t>
  </si>
  <si>
    <t>B. Cash Flow From Investing Activities</t>
  </si>
  <si>
    <t>Purchase of Property, Plant &amp; Equipment</t>
  </si>
  <si>
    <t>Sale of Property, Plant &amp; Equipment</t>
  </si>
  <si>
    <t xml:space="preserve">Purchase of Investments </t>
  </si>
  <si>
    <t>Sale Proceeds of current investments</t>
  </si>
  <si>
    <t>Loan Given to Subsidiary</t>
  </si>
  <si>
    <t xml:space="preserve">Dividend Received </t>
  </si>
  <si>
    <t>Net Cash Flow generated from / (used in)  Investing Activities     ( B )</t>
  </si>
  <si>
    <t>C. Cash Flow From Financing Activities</t>
  </si>
  <si>
    <t>Proceeds from Long Term Borrowings</t>
  </si>
  <si>
    <t xml:space="preserve">Long term Loans repaid </t>
  </si>
  <si>
    <t>Proceeds from issue of shares</t>
  </si>
  <si>
    <t>Short term Loans raised / (repaid)</t>
  </si>
  <si>
    <t>Finance Cost paid</t>
  </si>
  <si>
    <t>Net Cash Flow generated from / (used in) Financing Activities     ( C )</t>
  </si>
  <si>
    <t>Net Increase / (Decrease) in Cash and Cash Equivalents (A + B + C)</t>
  </si>
  <si>
    <t>SOURCE:- VARPE FILE - Loan Receipts &amp; Repayments</t>
  </si>
  <si>
    <t>Loan Receipts</t>
  </si>
  <si>
    <t>Add : Govt Assitance</t>
  </si>
  <si>
    <t xml:space="preserve">Loan Repayments </t>
  </si>
  <si>
    <t>Less:- Baramati loan repayment</t>
  </si>
  <si>
    <t>Net Proceeds</t>
  </si>
  <si>
    <t>Check difference between current maturities of long term debt in following</t>
  </si>
  <si>
    <t>Consolidated</t>
  </si>
  <si>
    <t>Note No. 11</t>
  </si>
  <si>
    <t>SHARE CAPITAL</t>
  </si>
  <si>
    <t>i) Authorised Capital</t>
  </si>
  <si>
    <t>Class of Share</t>
  </si>
  <si>
    <t xml:space="preserve">Face value </t>
  </si>
  <si>
    <t>No. of Shares</t>
  </si>
  <si>
    <t>(Amount in Rs. Crores)</t>
  </si>
  <si>
    <t>Equity Shares</t>
  </si>
  <si>
    <t>ii) Issued,Subscribed and paid up Capital (Fully Paid-up)</t>
  </si>
  <si>
    <t xml:space="preserve">Pending for allotment </t>
  </si>
  <si>
    <t>iii) Reconciliation of Number of Shares Outstanding</t>
  </si>
  <si>
    <t xml:space="preserve">Outstanding at the beginning of the year </t>
  </si>
  <si>
    <t>Addition during the period</t>
  </si>
  <si>
    <t xml:space="preserve">Outstanding at the end of the year </t>
  </si>
  <si>
    <t>iv) The rights, preferences, restrictions including restrictions on the distributions of dividends and repayment of capital</t>
  </si>
  <si>
    <t>(1) The Company is having only one class of shares i.e Equity carrying a nominal value of Rs. 10/- per share.</t>
  </si>
  <si>
    <t>(2) Company is 100% subsidiary of MSEB Holding Company Ltd.. which is entitled to 100% vote.  The dividend,  proposed by Board of Directors is subject to approval of the shareholders in the Annual General Meeting, if any.</t>
  </si>
  <si>
    <t>(3) Shareholders of the Company have a right to receive dividend  whenever such dividend is approved.</t>
  </si>
  <si>
    <t>(4) In the event of liquidation of the Company, the equity shareholders will be entitled to receive remaining assets of the Company after the distribution / repayment of all creditors. The distribution to the equity shareholders will be in proportion of the number of shares held by each shareholder</t>
  </si>
  <si>
    <t>(v) Shares in respect of each class held by  Holding Company</t>
  </si>
  <si>
    <t>Name of Shareholder</t>
  </si>
  <si>
    <t>MSEB Holding Company Ltd. (Nos.)</t>
  </si>
  <si>
    <t>MSEB Holding Company Ltd. (Amount in Rs. Crores )</t>
  </si>
  <si>
    <t>vi) Details of shares in the company held by each shareholder holding more than 5% shares and shares held by Holding company :</t>
  </si>
  <si>
    <t>% of Shares</t>
  </si>
  <si>
    <t>% change during the year</t>
  </si>
  <si>
    <t>MSEB Holding Company Ltd.</t>
  </si>
  <si>
    <t>SHAREHOLDING OF PROMOTERS</t>
  </si>
  <si>
    <t>% change during the year FY 2022-23</t>
  </si>
  <si>
    <t>Promoter Name</t>
  </si>
  <si>
    <t>No of Shares **</t>
  </si>
  <si>
    <t>% of total shares</t>
  </si>
  <si>
    <t>Nil</t>
  </si>
  <si>
    <t>MAHARASHTRA STATE POWER GENERATION COMPANY LTD</t>
  </si>
  <si>
    <t>A</t>
  </si>
  <si>
    <t>Note No. 1: PROPERTY, PLANT AND EQUIPMENT</t>
  </si>
  <si>
    <t>B</t>
  </si>
  <si>
    <t xml:space="preserve"> TANGIBLE ASSETS</t>
  </si>
  <si>
    <t>C</t>
  </si>
  <si>
    <t>Cost</t>
  </si>
  <si>
    <t>ASSET</t>
  </si>
  <si>
    <t>Rs. in Crores</t>
  </si>
  <si>
    <t>D</t>
  </si>
  <si>
    <t>Land (including development)</t>
  </si>
  <si>
    <t xml:space="preserve">Hydraulic Works </t>
  </si>
  <si>
    <t>Other Civil Works</t>
  </si>
  <si>
    <t xml:space="preserve">Plant, Machinery &amp; Equipments </t>
  </si>
  <si>
    <t xml:space="preserve">Lines &amp; Cable Networks </t>
  </si>
  <si>
    <t xml:space="preserve">Vehicles </t>
  </si>
  <si>
    <t xml:space="preserve">Furniture &amp; Fixtures </t>
  </si>
  <si>
    <t xml:space="preserve">Office Equip- ments </t>
  </si>
  <si>
    <t xml:space="preserve">Capital Expenditure resulting in Assets not belonging to the Company  </t>
  </si>
  <si>
    <t>TOTAL TANGIBLE ASSETS</t>
  </si>
  <si>
    <t>Less:- Depreciation Capitalised</t>
  </si>
  <si>
    <t xml:space="preserve">Depreciation charged to Statement of Profit &amp; Loss </t>
  </si>
  <si>
    <t>E</t>
  </si>
  <si>
    <t xml:space="preserve">Freehold </t>
  </si>
  <si>
    <t xml:space="preserve">Leasehold </t>
  </si>
  <si>
    <t xml:space="preserve">Factory Buildings </t>
  </si>
  <si>
    <t xml:space="preserve">Others </t>
  </si>
  <si>
    <t xml:space="preserve">Roads and Others </t>
  </si>
  <si>
    <t>F</t>
  </si>
  <si>
    <t>Deduction</t>
  </si>
  <si>
    <t>Accumulated Depreciation and impairment</t>
  </si>
  <si>
    <t>Deduction/Adjustments</t>
  </si>
  <si>
    <t>Net Carrying Amount</t>
  </si>
  <si>
    <t>Provision for obsolescence                  31.03.2018</t>
  </si>
  <si>
    <t>Provision for obsolescence     31-03-2019</t>
  </si>
  <si>
    <t>Note:- Out of the total land mentioned above, the Land amounting to Rs.  179 Crores, is in the name of offices of the Company instead of  Maharashtra State Power Generation Company Ltd.</t>
  </si>
  <si>
    <t>Company is in the process of transferring title deed in the registered name of the Company.</t>
  </si>
  <si>
    <t>Note NO. - 1A Right to Use Assets</t>
  </si>
  <si>
    <t>Building</t>
  </si>
  <si>
    <t>Land</t>
  </si>
  <si>
    <t>Gross Amount</t>
  </si>
  <si>
    <t>Accumulated Amortisation</t>
  </si>
  <si>
    <t xml:space="preserve">Note NO. - 1B Intangible Assets </t>
  </si>
  <si>
    <t>Software Licences</t>
  </si>
  <si>
    <t>B105</t>
  </si>
  <si>
    <t>B110</t>
  </si>
  <si>
    <t>B120</t>
  </si>
  <si>
    <t>B125</t>
  </si>
  <si>
    <t>B130</t>
  </si>
  <si>
    <t>B135</t>
  </si>
  <si>
    <t>B136</t>
  </si>
  <si>
    <t>B140</t>
  </si>
  <si>
    <t>Note no. 1C Assets classifies as held for sale</t>
  </si>
  <si>
    <t>B142</t>
  </si>
  <si>
    <t>Non-current assets held for sale</t>
  </si>
  <si>
    <t>B143</t>
  </si>
  <si>
    <t>B145</t>
  </si>
  <si>
    <t>Factory Buildings &amp; Others</t>
  </si>
  <si>
    <t>B150</t>
  </si>
  <si>
    <t>B155</t>
  </si>
  <si>
    <t>Railway Sidings, Roads &amp; Others</t>
  </si>
  <si>
    <t>B156</t>
  </si>
  <si>
    <t>Lines &amp; Cable Networks</t>
  </si>
  <si>
    <t>B160</t>
  </si>
  <si>
    <t>B165</t>
  </si>
  <si>
    <t>B170</t>
  </si>
  <si>
    <t>B225</t>
  </si>
  <si>
    <t xml:space="preserve">Other Miscellaneous Assets                 </t>
  </si>
  <si>
    <t>B234</t>
  </si>
  <si>
    <t>Less : Provision for obsolescence</t>
  </si>
  <si>
    <t>B250</t>
  </si>
  <si>
    <t>B260</t>
  </si>
  <si>
    <r>
      <rPr>
        <b/>
        <sz val="11"/>
        <rFont val="Arial"/>
        <family val="2"/>
      </rPr>
      <t>Note:</t>
    </r>
    <r>
      <rPr>
        <sz val="11"/>
        <rFont val="Arial"/>
        <family val="2"/>
      </rPr>
      <t xml:space="preserve"> Operations of the power generating unit no.7  at Koradi TPS, unit no. 4 and 5 at Parali TPS and  Bhusawal unit no. 2 have been discontinued. The company is in the process of disposing of these assets. The Company has reclassified the said assets as assets held for sale. No further impairment loss has been recognised on reclassification as the Company expects that the fair value (estimated based on the recent market prices of similar properties) less costs to sell is higher than it's  carrying amount  as on 31st March, 2023.</t>
    </r>
  </si>
  <si>
    <t>B265</t>
  </si>
  <si>
    <t>B270</t>
  </si>
  <si>
    <t>B280</t>
  </si>
  <si>
    <t>Note NO. 2</t>
  </si>
  <si>
    <t>Capital Work in Progress</t>
  </si>
  <si>
    <t>TOTAL Tangible CWIP</t>
  </si>
  <si>
    <t>Freehold Land</t>
  </si>
  <si>
    <t xml:space="preserve">Leasehold Land                             </t>
  </si>
  <si>
    <t xml:space="preserve"> Factory Buildings</t>
  </si>
  <si>
    <t xml:space="preserve">Hydraulic works                           </t>
  </si>
  <si>
    <t xml:space="preserve">Railway Sidings                            </t>
  </si>
  <si>
    <t>Plant &amp; Machinary</t>
  </si>
  <si>
    <t xml:space="preserve">Line cabels &amp; network                     </t>
  </si>
  <si>
    <t xml:space="preserve"> Furniture &amp; Fixtures</t>
  </si>
  <si>
    <t>Office equipment</t>
  </si>
  <si>
    <t xml:space="preserve"> Intangible Assets</t>
  </si>
  <si>
    <t>Provision for obsolesce</t>
  </si>
  <si>
    <t>As on 31.03.2014</t>
  </si>
  <si>
    <t>Deletion</t>
  </si>
  <si>
    <t>As on 31.03.2015</t>
  </si>
  <si>
    <t>Net Capital Work in Progess</t>
  </si>
  <si>
    <t>Less:- Provision for obsloescence</t>
  </si>
  <si>
    <t>Note:- Capital Work In Progress in respect of Intangible Assets comprise of licence aquired for development of Gare-Palma Mine.</t>
  </si>
  <si>
    <t xml:space="preserve">             Acquisition</t>
  </si>
  <si>
    <t xml:space="preserve">        Transfer</t>
  </si>
  <si>
    <t>Terms of Repayments</t>
  </si>
  <si>
    <t>Long Term Borrowings (Annexure A)</t>
  </si>
  <si>
    <t>Amounts in Rs. crores</t>
  </si>
  <si>
    <t>23-24, 24-25 &amp; 25-26</t>
  </si>
  <si>
    <t>Particulars of Lender</t>
  </si>
  <si>
    <t>SAP GL</t>
  </si>
  <si>
    <t>Loan No</t>
  </si>
  <si>
    <t>Nature of loan</t>
  </si>
  <si>
    <t>Loan sanctioned</t>
  </si>
  <si>
    <t>Outstanding balance as on 31.3.2023</t>
  </si>
  <si>
    <t>O/s loan repayment in FY 2015-16-Unpaid till 31.3.16</t>
  </si>
  <si>
    <t>Loan repayment due in FY 2023-24</t>
  </si>
  <si>
    <t>Loan to be repaid within 1 year treated as current liability</t>
  </si>
  <si>
    <t>Net long term borrowings.</t>
  </si>
  <si>
    <t>Mode of Repayment</t>
  </si>
  <si>
    <t>Rate of Interest (WA-ROI)</t>
  </si>
  <si>
    <t>Nature of security</t>
  </si>
  <si>
    <t>Loan to be repaid within 1 to 3 years</t>
  </si>
  <si>
    <t>PFC</t>
  </si>
  <si>
    <t>NEW PARLI EXPANSION PROJECT UNIT 2</t>
  </si>
  <si>
    <t>60 equal quarterly installments :- commenced from April 2011</t>
  </si>
  <si>
    <t>Mortgage/ Hypothecation of Future assets to be created for project together with Land</t>
  </si>
  <si>
    <t>PARAS EXPANSION PROJECT UNIT 2</t>
  </si>
  <si>
    <t>Procurement of LP Rotor as a common spare for Unit 5,6 &amp; 7 of Chandrapur STPS</t>
  </si>
  <si>
    <t>48 equal quarterly installments : commenced from April 2013</t>
  </si>
  <si>
    <t xml:space="preserve">Hypothecation of movable assets of SG &amp; TG and other BHEL Package amounting to RS 380 Crores of Parli TPS unit I (1x250 MW) </t>
  </si>
  <si>
    <t>KORADI TPS EXPANSION PROJECT (3x660 MW)</t>
  </si>
  <si>
    <t>60 equal quarterly installments : Commenced from July 2017</t>
  </si>
  <si>
    <t>A first pari-passu charge on all the movable &amp; immovable assets of 3x660 MW Koradi Expn TPS including movable machinery, machinery spares, tools &amp; accessories &amp; material at project site, both present &amp; future with a coverage of 1.25 times.</t>
  </si>
  <si>
    <t>R&amp;M of Unit 5,6 &amp; 7 of Koradi TPS</t>
  </si>
  <si>
    <t>60 equal quarterly installments : commenced from October 2016</t>
  </si>
  <si>
    <t>Assets of Parli TPS Unit 3,4 &amp; 5 together with land</t>
  </si>
  <si>
    <t>First charge on movable assets of SG &amp; TG and other Package of Parli TPS U-6 (1*250 MW) and one common spare LP Rotar for Chandrapur TPS  u- 5,6 &amp; 7</t>
  </si>
  <si>
    <t>R&amp;M of water supply systemof Parli TPS from Majalgaon Lift Irrigation Scheme.</t>
  </si>
  <si>
    <t>40 equal quarterly installments : commenced from October 2018</t>
  </si>
  <si>
    <t>Assets of Parli TPS Unit 7 together with land</t>
  </si>
  <si>
    <t>R&amp;M of Boiler &amp; Turbine Improvement Scheme of Chandrapur STPS.</t>
  </si>
  <si>
    <t>60 equal quarterly installments : commencing from October 2018</t>
  </si>
  <si>
    <t>Assets of Paras TPS Unit 4 together with land</t>
  </si>
  <si>
    <t>R&amp;M of Ash Handling System of Unit 5&amp;6 of CSTPS</t>
  </si>
  <si>
    <t>60 equal quarterly installments : commenced from October 2015</t>
  </si>
  <si>
    <t>R&amp;M of Condenser Cooling System of Unit 5&amp;6 of CSTPS</t>
  </si>
  <si>
    <t>to check loan repy</t>
  </si>
  <si>
    <t>R&amp;M for Process Improvement at Unit 3,4 &amp; 5 of Nashik TPS Stage-II (3x210 MW).</t>
  </si>
  <si>
    <t>40 equal quarterly installments : commencing from July 2019</t>
  </si>
  <si>
    <t>R&amp;M for Measuring &amp; Monitoring of Coal consumption of Bhusawal TPS</t>
  </si>
  <si>
    <t>R&amp;M for Boiler &amp; Turbine Improvement (Station heat improvement) Scheme of Bhusawal TPS.</t>
  </si>
  <si>
    <t>R&amp;M for Turbine Auxiliary Performance Improvement Scheme of Bhusawal TPS.</t>
  </si>
  <si>
    <t>R&amp;M for Replacement of BFP (200 KHI) cartridge with energy efficient cartridge for Unit  3,4 &amp; 5 of Parli TPS.</t>
  </si>
  <si>
    <t>60 equal quarterly installments : commencing from October 2015</t>
  </si>
  <si>
    <t>Renovation and Upgradation of GT Automation System, Starting Frequency converter &amp; Static Excitation system of unit 7 &amp; 8, Stage -II of Uran GTPS</t>
  </si>
  <si>
    <t>60 equal quarterly installments : commenced from Jan 2015</t>
  </si>
  <si>
    <t>Procurement of High Pressure Turbine (HPT Module for Khaperkheda TPS Unit 1 &amp; 2.</t>
  </si>
  <si>
    <t>60 equal quarterly installments : commencing from April 2018</t>
  </si>
  <si>
    <t>Movable assets of Nashik TPS Unit 3,4 &amp; 5.</t>
  </si>
  <si>
    <t>R &amp; M for Turbine Auxiliary Consumption Improvement at Stage II (Unit 3,4 &amp; 5 3x210 MW), Nashik TPS.</t>
  </si>
  <si>
    <t>60 equal quarterly installments : commenced on October 2014</t>
  </si>
  <si>
    <t>Construction of Concrete Road from Nashik-Pune Highway to Booster Pump House at Nashik TPS</t>
  </si>
  <si>
    <t>60 equal quarterly installments : commenced from Jan 2017</t>
  </si>
  <si>
    <t>Expediting  unloading of Coal Wagons by Up-grading the existing system in Maharashtra. (DPR of Nashik TPS)</t>
  </si>
  <si>
    <t>Various Schemes of KGSC, Phophali in Maharashtra</t>
  </si>
  <si>
    <t>Power supply arrangement at Colony, separate 25 KV OHE supply feeding arrangement to BESG siding &amp; providing of passenger elevators  at Paras TPS</t>
  </si>
  <si>
    <t>Various Schemes of Small Hydro Stations in Maharashtra. (Pune SHPC and Nashik SHPC</t>
  </si>
  <si>
    <t>Provision of Pipe Conveyor System for transportation of coal from WCL mines to Koradi and Khaperkheda TPS.</t>
  </si>
  <si>
    <t>60 equal quarterly installments : commencing from October 2021</t>
  </si>
  <si>
    <t>Hypothecation of Future assets to be created from the Capex Scheme</t>
  </si>
  <si>
    <t>Buyers Line of Credit - Capex schemes for existing Power Plants</t>
  </si>
  <si>
    <t>40 equal quarterly installments : commenced from October 2013</t>
  </si>
  <si>
    <t>Work of pipeline from river water pump house (RWPH) to aqueduct over Bhogawati river and other allied power house road work at Bhusawal TPS.</t>
  </si>
  <si>
    <t>180 Monthly installments (on 15th) : Commencing from Sept 2024</t>
  </si>
  <si>
    <t>Hypothecation of Plant &amp; Machinery of Parli TPS unit 6</t>
  </si>
  <si>
    <t>Life enhancement of Stacker Reclaimer Machine in Coal Handling Plant (CHP) and Up-gradation of SWAS Laboratory at Nashik TPS</t>
  </si>
  <si>
    <t>180 Monthly installments (on 15th) : Commencing from Oct. 2024</t>
  </si>
  <si>
    <t>Replacement of water wall panels in U-4 and installation of Variable Frequency Drive (VFD) to existing eddy current drive driven coal feeders at Paras TPS</t>
  </si>
  <si>
    <t>180 Monthly installments (on 15th) : Commenincing from</t>
  </si>
  <si>
    <t>Human Machine Interface (HMI) up-gradation of Distributed Control System (DCS) at U-6 and U-7 and procurement of Assemblies for  Reducer Gear Box for coal mills at Parli TPS.</t>
  </si>
  <si>
    <t>180 Monthly installments (on 15th) : Commenincing from Dec 2024</t>
  </si>
  <si>
    <t>Implementation of 6 nos. of scheme of Hydro Power Circles under Renewable Energy Circle, Pune.</t>
  </si>
  <si>
    <t>180 Monthly installments (on 15th) : Commenincing from Sept 2024</t>
  </si>
  <si>
    <t>Land acquisition, Rehabilitation &amp; Resettlement, Residential building, Exploration &amp; GR Cost and upfront amount towards Gare Palma-II coalmine.</t>
  </si>
  <si>
    <t>120 Monthly installments (on 15th) : Commencing from April 2028</t>
  </si>
  <si>
    <t>Moveble assets of Nashik TPS Unit 3,4 &amp; 5 are poposed for this Loan (DOH will be executed soon)</t>
  </si>
  <si>
    <t>New Entry</t>
  </si>
  <si>
    <t>Installation of Pollution Control Equipments (Dry Sorbent Injection based FGD system) at 4X210 MW (Unit # 1, 2, 3 &amp; 4) Khaperkheda TPS.</t>
  </si>
  <si>
    <t>72 Equal Monthly installements Commencing from July 2024</t>
  </si>
  <si>
    <t>Mortgage/Hypothecation of Future Assets (with 1.1 times cover)</t>
  </si>
  <si>
    <t>Installation of Pollution Control Equipments (Dry Sorbent Injection based FGD system) at 2X210 MW (Unit # 6 &amp; 7) Koradi TPS.-Loan is to be availed only for U-6.</t>
  </si>
  <si>
    <t>Installation of Pollution Control Equipments (FGD) at 2x250 MW (Unit-3 &amp; 4), Paras TPS</t>
  </si>
  <si>
    <t>114 Equal Monthly installements :Commencing from April 2026</t>
  </si>
  <si>
    <t>Working Capital facility</t>
  </si>
  <si>
    <t>96 equal monthly installments : commencing from 10th September 2022</t>
  </si>
  <si>
    <t>Hypothecation of movable assets of Koradi TPS (3x660 MW) Unit No. 8,9 &amp; 10 on pari passu basis with REC.</t>
  </si>
  <si>
    <t>96 equal monthly installments : commencing from 10th Aug 2024</t>
  </si>
  <si>
    <t xml:space="preserve">Corporate Guarantee from MSEB Holding Company Ltd. </t>
  </si>
  <si>
    <t>96 equal monthly installments : commencing from 10th April 2025 (24 months moratorium)</t>
  </si>
  <si>
    <t>REC</t>
  </si>
  <si>
    <t>Bhusawal Expansion Project</t>
  </si>
  <si>
    <t>48 equal quarterly installments : commenced from March 2016</t>
  </si>
  <si>
    <t>Mortgage/ Hypothecation of Present &amp; Future assets created / to be created for subject project together with Land</t>
  </si>
  <si>
    <t>53302 &amp; 53560</t>
  </si>
  <si>
    <t>C-90002 &amp; 12610786, 12610622,      15220-A3</t>
  </si>
  <si>
    <t>Chandrapur Expansion Project</t>
  </si>
  <si>
    <t>48 equal quarterly installments : commenced from September 2017</t>
  </si>
  <si>
    <t>Parli Replacement Project</t>
  </si>
  <si>
    <t>Koradi Project (3x660 MW)- Debt Refinancing</t>
  </si>
  <si>
    <t>38 equal quarterly installments : commenced from June 2017</t>
  </si>
  <si>
    <t>130 MLD Sewage Treatment Plant at Koradi Project (3x660 MW)</t>
  </si>
  <si>
    <t>48 equal quarterly installments : commenced from March 2018</t>
  </si>
  <si>
    <t>Hypothecation of movable assets of Bhusawal TPS Unit No.  2 and 3 (210 MW each).</t>
  </si>
  <si>
    <t>BSL Repl-13399, 15090</t>
  </si>
  <si>
    <t>Setting up of Bhusawal Replacement Project Unit No-6 (660 MW) at Bhusawal Dist. Jalgaon, Maharashtra.</t>
  </si>
  <si>
    <t>180 equal MOnthly installments : commencing from April 2024</t>
  </si>
  <si>
    <t>Installation of Pollution control Equipments (FGD) at Bhusawal Replacement Project Unit No-6 (660 MW) at Bhusawal Dist. Jalgaon, Maharashtra.</t>
  </si>
  <si>
    <t>Hypothecation of Present &amp; Future assets created / to be created for subject FGD project together with Mortgage on Land of Bhusawal Repl Unit-6</t>
  </si>
  <si>
    <t>Installation of Pollution control Equipments (FGD) at Koradi TPS Unit No-8-9-10 (3x660 MW).</t>
  </si>
  <si>
    <t>120 equal monthly installments : commencing from 31st March 2024</t>
  </si>
  <si>
    <t>Hypothecation of Present &amp; Future assets created / to be created for subject FGD Project AND Hypothecation of existing movable assets of Parli TPS Unit-8 (250 MW) to the tune of Rs. 225.75 crores.</t>
  </si>
  <si>
    <t>Gare Palma Project</t>
  </si>
  <si>
    <t>120 equal Monthly instalments commencing from 1.12.2026</t>
  </si>
  <si>
    <t>Hypothecatio of Surplus all Fixed aseets of Bhusawal 4&amp;5, Chandrapur 8&amp;9 and Parli U 8</t>
  </si>
  <si>
    <t>Combustion Optimization &amp; Process improvement scheme at Nashik TPS</t>
  </si>
  <si>
    <t>7 equal annual installments commencing from 15-January 2022</t>
  </si>
  <si>
    <t>Hypothecation of Future assets to be created from the R&amp;M Scheme</t>
  </si>
  <si>
    <t>Procurement of Spare HPT Module for Khaperkheda TPS</t>
  </si>
  <si>
    <t>7 equal annual installments commenced from 15-January 2018</t>
  </si>
  <si>
    <t>R&amp;M - T, I&amp;C Up-gradation through Burner Management System, Excitation system, HT Motor Protection etc. form Parli TPS Unit 3,4 &amp; 5</t>
  </si>
  <si>
    <t>7 equal annual installments commenced from 15-February 2018</t>
  </si>
  <si>
    <t>ESP Restoration/Refurbishment (Improvement in Stack emmission control) Un it 5,6 &amp;7. Chandrapur STPS</t>
  </si>
  <si>
    <t>7 equal annual installments commenced from 15-March 2018</t>
  </si>
  <si>
    <t>Measurement &amp; monitoring of coal consumption. At Nashik TPS</t>
  </si>
  <si>
    <t>Input Source measurement scheme (Fuel oil, water, Auxiliary power &amp; coal flow) - Chandrapur STPS</t>
  </si>
  <si>
    <t>Procurement of Energy Efficient HT Motors at Bhusawal TPS, Koradi TPS, Chandrapur TPS, Khaperkheda TPS, Parli TPS and Paras TPS units.</t>
  </si>
  <si>
    <t>40 equal quarterly installments : commencing from Sept. 2020</t>
  </si>
  <si>
    <t>Supply, Installation, Commissioning and Operation &amp; Maintenance Services of Continuous Ambient Air Quality Monitoring Stations (CAAQMS) at various TPS in the State of Maharashtra.</t>
  </si>
  <si>
    <t>40 equal quarterly installments : commencing from Sept. 2021</t>
  </si>
  <si>
    <t>Stack management by procurement of Bulldozer &amp; LOCO and CHP area schemes for performance &amp; unloading improvement at Bhusawal TPS.</t>
  </si>
  <si>
    <t>40 equal quarterly installments commencing from March 2020</t>
  </si>
  <si>
    <t>Interconnection of 210 MW CHP to 500 MW CHP through Conveyors BC-02 &amp; BC-03 having capacity of 500 TPH at Bhusawal TPS</t>
  </si>
  <si>
    <t>Supply of spares for gear box of XRP-1043 coal mill of unit-5&amp;6, Supply &amp; application of wear resistance liners inside the mill body of XRP 1043 Coal Mill of unit-5&amp;6, Supply of main reducer of Coal Mill Gear Box with allied spares for coal mill of unit-7 at Chandrapur TPS.</t>
  </si>
  <si>
    <t>Replacement of Heating Elements (Baskets) Of Primary and Secondary Air Pre-Heaters of Unit# 5 &amp; 6 At Chandrapur TPS.</t>
  </si>
  <si>
    <t>40 equal quarterly installments commencing from June 2020</t>
  </si>
  <si>
    <t>Replacement of Platten Superheater &amp; Eco Coil Additional of Unit# 5 &amp; 6 and Upper &amp; lower low temperature superheater (LTSH) &amp; Eco bottom assemblies of Unit# 7 at Chandrapur TPS.</t>
  </si>
  <si>
    <t>Procurement &amp; replacement of condenser tubes and Boiler Feeder Pump (BFP) cartridges at Chandrapur TPS.</t>
  </si>
  <si>
    <t>210/500 MW Coal Handling Plant (CHP) Performance Improvement at Chandrapur TPS.</t>
  </si>
  <si>
    <t>Procurement of moving blades for LP Turbine and control fluid pumps and AOP for 500 MW Unit# 5, 6 &amp; 7 at Chandrapur TPS.</t>
  </si>
  <si>
    <t>40 equal quarterly installments : commencing from (Sept 2024.)</t>
  </si>
  <si>
    <t>Performance Improvement &amp; Life Enhancement of 500MW CHP-B at Chandrapur TPS.</t>
  </si>
  <si>
    <t>Electro-Static Precipitator performance Improvement Unit#3&amp;4 at Chandrapur TPS.</t>
  </si>
  <si>
    <t>Retrofitting of existing HT breakers installed at Unit# 3, 4, 5 &amp; 6 of Chandrapur TPS.</t>
  </si>
  <si>
    <t>40 equal quarterly installments commencing from December 2020</t>
  </si>
  <si>
    <t>Construction of Quarter Guard, Bachelor Accommodation and allied structures in Phase I &amp; II for induction of CISF Security at Chandrapur TPS.</t>
  </si>
  <si>
    <t>Development of Ash Bund Area at Waregaon, Khaperkheda TPS.</t>
  </si>
  <si>
    <t>40 equal quarterly installments commencing from -December 2019</t>
  </si>
  <si>
    <t>Procurement &amp; Replacement of complete set of LTSH coils for Unit# 3, 4 at Khaperkheda TPS.</t>
  </si>
  <si>
    <t>Works for Ash Disposal from Khaperkheda 1X500 MW Unit to Nandgaon Ash Bund.</t>
  </si>
  <si>
    <t>ESP upgradation for Unit#1 at Khaperkheda TPS.</t>
  </si>
  <si>
    <t>Procurement, installation and commissioning of Gravimetric belt/rotary type Feeder, VFD for CEP, up-gradation of BTS System and implementation of Environmental Schemes at Khaperkheda TPS.</t>
  </si>
  <si>
    <t>Restoration of Pond No.3 by desilting and providing peripheral earthen bund with desilted soil and other related appratant works of Nallah training, approach road, C.D. Works, pipe culverts etc at Koradi TPS.</t>
  </si>
  <si>
    <t>Improvement in Electrical System at Chandrapur TPS.</t>
  </si>
  <si>
    <t>Third Raising of Ash Bund from T.B.L. 581.50 to 586.50 M of Valley No. 4A at Nashik TPS.</t>
  </si>
  <si>
    <t>Various Performance improvement Schemes at KGSC, Pophali.</t>
  </si>
  <si>
    <t>Enhance the performance &amp; life of Coal Handling plant at Nashik TPS.</t>
  </si>
  <si>
    <t xml:space="preserve">Replacement of complete LTSH coils at Unit-3 Boiler and complete economizer coils at Unit-5 Boiler at Nasik TPS 210 MW.  </t>
  </si>
  <si>
    <t>Retrofitting of 6.6 kV Breakers, Battery Replacement, System Improvement &amp; MPCB Related schemes at Nashik TPS.</t>
  </si>
  <si>
    <t>Various schemes related to CHP Improvement and Stack Management &amp; Coal Mill Performance Improvement schemes at 2 X 250 MW Units of Paras TPS.</t>
  </si>
  <si>
    <t>Augmentation of Bottom Ash &amp; Fly Ash Pumping scheme at Paras Thermal Power Station and extension of ash pipe lines from existing ash bund to new ash bund at Gazipur.</t>
  </si>
  <si>
    <t>Replacement OF ESP internals ESP FOR U#4, U#5 &amp; HT Motor Protection Relays, Microprocessor Based digital Trivector Energy meters, and Measurement of SO2 - NOX for Unit – 4, 5, Continuous Ambient Air Quality Monitoring Station at Parli TPS.</t>
  </si>
  <si>
    <t>Procurement &amp; replacement of   complete set of economizer   coils of unit no. 4, LTSH coils for unit no. 5 and mill base &amp; gear housing with  complete gear box assembly  to achieve improvement in coal mill availability &amp; performance at 210 MW unit 4 &amp; 5 Parli TPS.</t>
  </si>
  <si>
    <t>Civil works of providing Road Network at KGS Complex Pophali, Modernisation and Refurbishing of Residential complex and Water supply &amp; sanitary works at Koyna Generating Station Complex (KGSC), Pophali.</t>
  </si>
  <si>
    <t>Replacement of Turbine Rotor Blades stage I &amp; II at GT-6 Uran GTPS.</t>
  </si>
  <si>
    <t>120 equal Monthly installments : commencing from 30th June 2022</t>
  </si>
  <si>
    <t>Construction of 3rd raising of existing Ash bund from T.B.L. 273. 63 Mtr to 276.63 Mtr with construction of masonry dam (Gabion Structure) at Paras TPS in the State of Maharashtra</t>
  </si>
  <si>
    <t>Replacement of Fire Tender for Chandrapur, Koradi, Khaperkheda, Parli, Paras, Nashik, Bhusawal TPS and Pophali HPS and Uran GTPS.</t>
  </si>
  <si>
    <t>120 equal Monthly installments : commencing from 31st March 2023</t>
  </si>
  <si>
    <t>Provision of Coal Transport System at Chandrapur STPS in the State of Maharashtra.-Pipe Conveyor system for transportation of coal</t>
  </si>
  <si>
    <t>40 equal quarterly installments commencing from Sept. 2020</t>
  </si>
  <si>
    <t>Procurement and replacement of Economiser Upper Assemblies at Unit-5 and 6 and Hot Re-heater (HRH) coil at Unit-3 of Chandrapur STPS.</t>
  </si>
  <si>
    <t>Procurement of Bulldozer and refurbishment of Apron Feeder at Khaperkheda TPS</t>
  </si>
  <si>
    <t>Procurement of battery set, Air (PA) fan assembly, Jack oil pump, Turbo dirven boiler feed pump (BFP), Cartirdge and restoration of Electro-Static Precipitators (ESP) internals for Unit-5 at Khaperkheda TPS</t>
  </si>
  <si>
    <t>40 equal quarterly installments commencing from March 2021</t>
  </si>
  <si>
    <t>Supply, Installation &amp; Commissioning of different schemes for MPCB and Station requirement at Koradi TPS.</t>
  </si>
  <si>
    <t>120 equal Monthly installments : commencing from 30th Sept 2022</t>
  </si>
  <si>
    <t>System Rehabilitation &amp; Upgradation at Nashik TPS</t>
  </si>
  <si>
    <t>Procurement of BFP cartirdge for Unit-3 and Unit-4 at Paras TPS.</t>
  </si>
  <si>
    <t>40 equal quarterly installments commencing from June 2021</t>
  </si>
  <si>
    <t>GTR Foundation, approach road to New Parli and Plant internal roads at Parli TPS</t>
  </si>
  <si>
    <t>Procurement of batteries, breakers and weigh bridge at Unit-6 and Unit-7 at Parli TPS.</t>
  </si>
  <si>
    <t>Various civil schemes for Modernization of HPC Pune Colonies</t>
  </si>
  <si>
    <t>Provision of work of construction of 1st raising of existing Ash Bund No. 3 from TBL(top Bund Level) 258 Mtr to 264 Mtr at Bhusawal TPS.</t>
  </si>
  <si>
    <t>Augmentation of Ash Evacuation system &amp; procurement of BCW pump (Boiler Circulating water pump) motors at Bhusawal TPS and Khaperkheda TPS. Procurement of AVCF drive along with inverter module for GEHO pumps and supply, erection and commissioning of 240 VDC, 100A float and Float cum Boost Battery Changer with 325Ah Battery Bank for CWPH at Bhusawal TPS</t>
  </si>
  <si>
    <t>Provision of scheme related to Barrage Gate, AWR pipeline and concrete road at Nashik TPS.</t>
  </si>
  <si>
    <t>Supply of A0 or B0 WHRP (Waste Heat Recovery Plant) Unit Upgradation at Uran GTPS.</t>
  </si>
  <si>
    <t>40 equal quarterly installments : commencing from Sept 2023</t>
  </si>
  <si>
    <t>Replacement of Generator Stator Unit No 11 (80 MW) at Stage III at Koyna Generating Station Complex (KGSC).</t>
  </si>
  <si>
    <t>40 equal quarterly installments : commencing from Dec 2024</t>
  </si>
  <si>
    <t>Replacement of H2 Generators with New Hydrogen Generator (Non Abstos Design) and Electrical items for Stage II and ORC TPS at Chandrapur</t>
  </si>
  <si>
    <t>DCS (Distributed Control System) Upgradation &amp; Refurbishment of ESP at Unit No 3 at Nashik TPS.</t>
  </si>
  <si>
    <t>Signal &amp; Telecommunication system for in-plant yard, Khaperkheda and Kalumna and modification of Kalumna yard alteration No-5 at Khaperkheda TPS.</t>
  </si>
  <si>
    <t>Provision of work of construction of WBM road and drain on filling of hot water canal from Pond No-2 to Pond No 3 and construction of Bridge cum weir on Pond No 3 parallel to National Highway ay Koradi TPS.</t>
  </si>
  <si>
    <t>Construction of 1st raising of existing Ash Bund fom TBL(top Bund Level) 426 Mtr to 432 Mtr with construction of masonary dam and raising the height of drain well from 423.75 Mtr to 432 mtr at Dautpur Bond Nom 2 of Parli TPS.</t>
  </si>
  <si>
    <t>Upgradation of Human Machine Interface system at Unit No 3 and 4 at Khaperkheda TPS.</t>
  </si>
  <si>
    <t>Provision of work of providing, lowering, laying and joining M.S. Pipe lines from Waregaon Ash bund leading towards Khaperkheda TPS for additional recovery of water from waregaon ash bund including ancillary works of RCC pedestals at Khaperkheda TPS.</t>
  </si>
  <si>
    <t>Various schemes related to CHP Improvement and performance optimization and scheme of conversion of existing composite OHE to conventional OHE at Khaperkheda TPS.</t>
  </si>
  <si>
    <t>Civil works at Various Thermal Power Stations as implementation of Intelligent Bureau (IB) Recommendations</t>
  </si>
  <si>
    <t>Construction of Limited Heigh Sub-way (LHS) at un-manned road level crossing by Railway on cost sharing basis with MSPGCL on Khaperkheda - Kalumna Railway siding and Saoner - Khaperkheda Railway Siding at Khaperkheda TPS.</t>
  </si>
  <si>
    <t>Procurement of Boiler Feed Booster pumps to improve availability and performance of Feed system, Moving blades of Lowe Pressure Turbine and Condenser Tubes of Chandrapur TPS (3 x 500 MW)</t>
  </si>
  <si>
    <t>40 equal quarterly installments : commencing from March 2022</t>
  </si>
  <si>
    <t>Renovation and Beautification works of CSTPS Chandrapur Colony at Chandrapur.</t>
  </si>
  <si>
    <t>Civil works at Bhusawal TPS, Deepnagar, Bhusawal in the state of Maharashtra</t>
  </si>
  <si>
    <t>Hypothecation of existing movable assets - Paras TPS Unit-3 (250 MW) - Other Plant &amp; Machinery items.</t>
  </si>
  <si>
    <t>Utilization of unused water scheme from Bhanegaon open cast mine and construction of cement concrete road inside part of the power house at Khaperkheda TPS.</t>
  </si>
  <si>
    <t>Civil works at Nashik Hydro Power Circle in Maharashtra</t>
  </si>
  <si>
    <t>Renovation of Colony at Eklahare at Nashik TPS</t>
  </si>
  <si>
    <t>40 equal quarterly installments : commencing from September 2021</t>
  </si>
  <si>
    <t>Procurement of Compressor Rotor Blades of all 16 stages and Tie Rod alongwith frothollow shaft for Gas Turbine Unit No-8 at Uran GTPS.</t>
  </si>
  <si>
    <t>Conservation of Koradi Lake, Nagpur for supply of clean water to Koradi TPS and Khaperkheda TPS.</t>
  </si>
  <si>
    <t>120 equal Monthly installments : commencing from 31st December 2022</t>
  </si>
  <si>
    <t>Procurement and replacement of Air Pre-heater Baskets, installation of Electromechanical drive for Apron feeder &amp; procurement of coal mine gear box for 2x500 MW Units at Bhusawal TPS.</t>
  </si>
  <si>
    <t>40 equal quarterly installments : commencing from June 2024</t>
  </si>
  <si>
    <t>Procurement of APH Basket for Unit 1 to 4 (210 MW) and Unit-5 (500 MW)and up-gradation of HT Rotor Protection Relays in Unit 1 to 4 at Khaperkheda TPS</t>
  </si>
  <si>
    <t>40 equal quarterly installments : commencing from December 2021</t>
  </si>
  <si>
    <t>Replacement of Battery Bank Set, Two complete set of Air Pre-heater Baskets &amp; Coal Compartment Assemblies for 250 MW Unit-4, at Paras TPS</t>
  </si>
  <si>
    <t>Supply, Erection, Commissioning and testing of 220V, 2035 AH station Battery Set (04 nos) and 24 V,  2250 AH, SG/TG and BoP Battery Sets (08 nos) for Unit No-4 and 5 along with accessories at 2 x 500 MW Bhusawal TPS.</t>
  </si>
  <si>
    <t>Renovation work of Colony at Parli TPS</t>
  </si>
  <si>
    <t>Various Civil works at Parli TPS in the State of Maharashtra</t>
  </si>
  <si>
    <t>Provision and Construction of various public amenities in the rehabilitated village Khasara at Koradi TPS, Koradi district.</t>
  </si>
  <si>
    <t>Provision and Construction of various public amenities in the rehabilitated village Koradi at Koradi TPS, Koradi district.</t>
  </si>
  <si>
    <t>40 equal quarterly installments : commencing from June 2022</t>
  </si>
  <si>
    <t>Work of maintaining the zero discharge condition of Pond No-2 and Pond No-3 and providing the facilities on peripheral area of Pond No-3 such as roads/bridges with lightening arrangement at Koradi TPS, Koradi disctrict.</t>
  </si>
  <si>
    <t>14 Nos of Schemes for Hydro Power Stations under Renewable Energy Circle, Pune &amp; Nashik of MSPGCL</t>
  </si>
  <si>
    <t>40 equal quarterly installments : commencing from Dec 2023</t>
  </si>
  <si>
    <t>Upgradation of HMI Symphony Harmony DCS, Battery Replacement and retrofitting of HT berakers by VCB at Unit-3, 210 MW Bhusawal TPS</t>
  </si>
  <si>
    <t>120 equal Monthly installments : commencing from 31st May 2022</t>
  </si>
  <si>
    <t>Procurement of complete sets of Air Pre-heater Basket at various TPS of MSPGCL.</t>
  </si>
  <si>
    <t>Replacement of complete set of Economiser Upper and Lower Coil Assemblies &amp; Replacement of complete set of Low Temperature Super Heater (LTSH) Upper and Lower Coil Assemblies in Unit 3 at Paras TPS in Akola District.</t>
  </si>
  <si>
    <t>40 equal quarterly installments : commencing from March 2024</t>
  </si>
  <si>
    <t>Replacement of complete set of Economiser Upper and Lower Coil Assemblies &amp; Replacement of complete set of Low Temperature Super Heater (LTSH) Upper and Lower Coil Assemblies in Unit No 6 and 7 of Parli TPS.</t>
  </si>
  <si>
    <t>40 equal quarterly installments : commencing from june 2024</t>
  </si>
  <si>
    <t>Various Capital Expenditure schemes at Koyna Generating Station Complex [KGSC].</t>
  </si>
  <si>
    <t>120 equal monthly installments : commencing from 31st March 2023</t>
  </si>
  <si>
    <t>Refurbishment of Coal Handling Plant at Koradi TPS U-6 &amp; 7 in the state of Maharashtra.</t>
  </si>
  <si>
    <t>120 equal monthly installments : commencing from March 2022</t>
  </si>
  <si>
    <t>Providing green belt around Pond No-3, Construction of weir &amp; reclaiming natural stream from Pond No-3 to Kolar River on d/s side of Pond No-3 and deeping of west side of pond no-3 at Koradi TPS</t>
  </si>
  <si>
    <t>120 equal monthly installments : commencing from April 2022</t>
  </si>
  <si>
    <t>Hypothecation of existing movable assets - Paras TPS Unit-3 (250 MW) Boiler Plant and Equipment Single Drum</t>
  </si>
  <si>
    <t>HMI (Human Machine Interface) up-gradation of DCS Unit-3 &amp; 4, WTP (Water Treatment Plant Unit 3&amp;4 combined PLC system) &amp; AHP (Ash Handling Plant Unit-3 PLC System) to matchwith external aspects as well as for process improvement &amp; procurement of Girth-Gear &amp; Pinion for Optimum availability of Auxiliary at Paras TPS.</t>
  </si>
  <si>
    <t>120 equal monthly installments : commencing from June 2023</t>
  </si>
  <si>
    <t>Procurement of MOH Spares for Unit-8 of GTPS Uran.</t>
  </si>
  <si>
    <t>120 equal monthly installments : commencing from Sept 2024</t>
  </si>
  <si>
    <t>Supply, Erection &amp; Commissioning of HT Vaccum Circuit Breakers and SF6 contactors at AHP and CHP of Unit 1 to 4 of 210 MW &amp; CHP of Unit No-5 of 500 MW Khaperkheda TPS and Supply, Erection &amp; Commissioning of 160 KW VFD panel with motor for fire fighting pumps at Unit No 1 to 4 of 210 MW Khaperkheda TPS.</t>
  </si>
  <si>
    <t>120 equal monthly installments : commencing from April 2024</t>
  </si>
  <si>
    <t>Work of Strengthing and asphalting on the peripheral earthen enbankment of Pond No-3 at Koradi TPS</t>
  </si>
  <si>
    <t>120 equal monthly installments : commencing from 30th Sept 2022</t>
  </si>
  <si>
    <t>Procurement of Energy Efficient Cartridges for Boiler Feed Pumps of Unit No-6 &amp; 7 of Parli TPS</t>
  </si>
  <si>
    <t>120 equal monthly installments : commencing from 30th April 2023</t>
  </si>
  <si>
    <t>Works to enhance the performance of Coal Handling Plant at Parli TPS (3x250 MW).</t>
  </si>
  <si>
    <t>120 equal monthly installments : commencing from 31st December 2022</t>
  </si>
  <si>
    <t>Refurbishment of 24 KV Generator Circuit Breakers (ABB Make) for 4 Units at Stage IV, Koyna GSC, Pophali.</t>
  </si>
  <si>
    <t>120 equal monthly installments : commencing from 31th December 2022</t>
  </si>
  <si>
    <t>Work of Strengthing and asphalting of part portion of inspection road (Navegaon to Rohana) of Pench intake pipeline from Pench to Pond No-3 at Koradi TPS.</t>
  </si>
  <si>
    <t>120 equal monthly installments : commencing from Jan 2024</t>
  </si>
  <si>
    <t>Procurement of Girth Gear and Pinion for Coal Mills and Procurement, Installation, Commissioning of Variable Frequency Drives for Gravimetric Feeders at Unit No. 6 and 7 of Parli TPS</t>
  </si>
  <si>
    <t>120 equal monthly installments : commencing from Dec. 2023</t>
  </si>
  <si>
    <t>Energy Efficient Renovation &amp; Modernization [R&amp;M[ work at 1 x 210 MW Koradi TPS Unit-6.</t>
  </si>
  <si>
    <t>120 equal monthly installments : commencing from April 2020</t>
  </si>
  <si>
    <t>Procurement of 2 no of 3100 HP, WDG-3A Locomotives for Chandrapur STPS.</t>
  </si>
  <si>
    <t>120 equal monthly installments : commencing from 30th November 2022</t>
  </si>
  <si>
    <t>Procurement and replacement of Economizer Coils for Unit 1 and 2, 210 MW Khaperkheda TPS and procurement and replacement work of foundation deck spring assembly for coal mills of Unit No 3 &amp; 4 of 210 MW, Khaperkheda TPS</t>
  </si>
  <si>
    <t>120 equal monthly installments : commencing from 31st October 2022</t>
  </si>
  <si>
    <t>Up-gradation of existing Gravemetric Coal Feeders control panel with HMI and Microprocessor based controller with VFD, Motor &amp; Weigh Module at Unit 3 &amp; 4 and Procurement of various critical components of GEHO Pump (Model- TZPM 800) for AHP-1, Khaperkheda TPS.</t>
  </si>
  <si>
    <t>Various Electronic schemes at Unit 6 and 7 and outdoor area for system up-gradation at 210 MW Koradi TPS.</t>
  </si>
  <si>
    <t>Reinforcement and Capicity Enhancement of old CHP Coal Conveyor Belt structure from 200 TPS to 360 TPH at old CHP Paras TPS and Procurement of one no. of Bulldozer and Diesel Hydraulic Locomotive at Paras TPS.</t>
  </si>
  <si>
    <t>Replacement of 220 V Station Battery Set and UPS Battery Sets of Unit-5 &amp; 6 and 24 V G1 G2 Battery Sets of Unit-5 &amp; 6 of Chandrapur STPS, Stage-III.</t>
  </si>
  <si>
    <t>120 equal monthly installments : commencing from Feb 2024</t>
  </si>
  <si>
    <t>Implementation of Water Flow Monitoring system at Chandrapur STPS</t>
  </si>
  <si>
    <t>36 Equal Monthly installements commencing from Dec 2024</t>
  </si>
  <si>
    <t>Hypothecation of All existing Assets of Chandrapur TPS u 8 &amp; 9</t>
  </si>
  <si>
    <t>Procurement of spare Generator Rotor along with bearings for U-5,6,7 at Chandrapur Super Thermal Power Station (CSTPS)</t>
  </si>
  <si>
    <t>120 Equal Monthly installements commencing from Aug 2022</t>
  </si>
  <si>
    <t>Internal Works to be carried out for reuse of Tertiary Treated Water for Khapherkheda and Koradi TPS from 200 MLD Sewage Treatment Plant of Nagpur Muncipal Corporation.</t>
  </si>
  <si>
    <t>120 Equal Monthly installements commencing from Sept 2024</t>
  </si>
  <si>
    <r>
      <rPr>
        <b/>
        <sz val="11"/>
        <color theme="1"/>
        <rFont val="Calibri"/>
        <family val="2"/>
        <scheme val="minor"/>
      </rPr>
      <t>96</t>
    </r>
    <r>
      <rPr>
        <sz val="10"/>
        <rFont val="Arial"/>
        <family val="2"/>
      </rPr>
      <t xml:space="preserve"> equal </t>
    </r>
    <r>
      <rPr>
        <b/>
        <sz val="11"/>
        <color theme="1"/>
        <rFont val="Calibri"/>
        <family val="2"/>
        <scheme val="minor"/>
      </rPr>
      <t>Monthly</t>
    </r>
    <r>
      <rPr>
        <sz val="10"/>
        <rFont val="Arial"/>
        <family val="2"/>
      </rPr>
      <t xml:space="preserve"> installments : commencing from   1st October 2022</t>
    </r>
  </si>
  <si>
    <t>Hypothecation of movable assets of Bhusawal TPS Unit 4 &amp; 5 (2x500 MW) to the extent of value of Rs. 551.28 crs and pari passu charge with PFC on entire assets of Koradi TPS (3x660 MW) Unit No. 8,9 &amp; 10 to the extent of Rs. 874.37 crs.</t>
  </si>
  <si>
    <r>
      <rPr>
        <b/>
        <sz val="11"/>
        <color theme="1"/>
        <rFont val="Calibri"/>
        <family val="2"/>
        <scheme val="minor"/>
      </rPr>
      <t>96</t>
    </r>
    <r>
      <rPr>
        <sz val="10"/>
        <rFont val="Arial"/>
        <family val="2"/>
      </rPr>
      <t xml:space="preserve"> equal </t>
    </r>
    <r>
      <rPr>
        <b/>
        <sz val="11"/>
        <color theme="1"/>
        <rFont val="Calibri"/>
        <family val="2"/>
        <scheme val="minor"/>
      </rPr>
      <t>Monthly</t>
    </r>
    <r>
      <rPr>
        <sz val="10"/>
        <rFont val="Arial"/>
        <family val="2"/>
      </rPr>
      <t xml:space="preserve"> installments : commencing from   October 2024</t>
    </r>
  </si>
  <si>
    <t>Debt Refinancing loan for Khaperkheda TPS Expn Unit-5 (500 MW)</t>
  </si>
  <si>
    <t>51 equal quarterly installments started from October 2016</t>
  </si>
  <si>
    <t>Mortgage &amp; Hypothecation of all Movable &amp; Immovable assets of Khaperkheda TPS Unit-5 (500 MW)</t>
  </si>
  <si>
    <t>KfW- Germany</t>
  </si>
  <si>
    <t>5192758E Solar PV Power plant - Sakri</t>
  </si>
  <si>
    <t>Establishment of 150 M.W Solar Power Plant at Sakri- Dhule</t>
  </si>
  <si>
    <t>Rs. 2000 Crs        (Euro 250 millions)</t>
  </si>
  <si>
    <t>21 semi annual installments commenced from 30.12.2013</t>
  </si>
  <si>
    <t>Unsecured - Back to back arrangement GoM &amp; Govt of India.</t>
  </si>
  <si>
    <t>Establishment of Solar Power Plant at Baramati &amp; other places</t>
  </si>
  <si>
    <t>Rs. 2000 Crs (Euro 250 millions)</t>
  </si>
  <si>
    <t>IBRD-World Bank</t>
  </si>
  <si>
    <t>Funding for Koradi TPS Unit-6 EE R&amp;M</t>
  </si>
  <si>
    <t>Rs.  354 crs (Us Dollar 59 millions)</t>
  </si>
  <si>
    <t>50 semi annual Installments beginning from 15.12.2014 till 15.6.2039</t>
  </si>
  <si>
    <t xml:space="preserve">Six month LIBOR + variable Spread  </t>
  </si>
  <si>
    <t>M/s. Clean Sustainable Solar Energy Pvt. Ltd.</t>
  </si>
  <si>
    <t>Construction Cost for 50 MW Solar Power Project at Shirsuphal</t>
  </si>
  <si>
    <t>To be repaid in monthly installment over 20 years from FY 2015-16</t>
  </si>
  <si>
    <t>Financial Assitance</t>
  </si>
  <si>
    <t>Tenure- 50 year. Principle amount shall be repayable by "Bullet Installment" as at the end of tenure</t>
  </si>
  <si>
    <t>TOTAL</t>
  </si>
  <si>
    <t>NOTE:-  In case of partly disburse long term loan of financial Instituation, Which are under disbrusement &amp; at the same time repayment has been commenced, the amount repayable within one year, is being worked out on the basis of outstandings loan balances as on the closing date &amp; the balance residual tenor of the loan on the closing date.</t>
  </si>
  <si>
    <t>SHORT TERM BORROWING (Annexure B)</t>
  </si>
  <si>
    <t>Terms of Repayment</t>
  </si>
  <si>
    <t>Rate of Interest</t>
  </si>
  <si>
    <t>Cash Credits / Working Capital Demand Loan</t>
  </si>
  <si>
    <t>Sanctioned for a period of one year and renewal on yearly basis</t>
  </si>
  <si>
    <t>Rate of interest is based on Bank's MCLR (presently 7.95%)</t>
  </si>
  <si>
    <t>1) Book debts and stocks upto limit of Rs 10500 cr   2) Land &amp; Building, P&amp;M &amp; other assets of Chandrapur TPS Unit 3,4,5,6 &amp; 7.                             3) Movable assets of Sakhri Dhule Power Plant &amp; Uran GTPS                        4) collateral security in the form of charge on movable assets of Khaperkheda TPS Unit 1,2,3 &amp; 4</t>
  </si>
  <si>
    <t>Rate of interest is based on Bank's MCLR (presently 8.20%)</t>
  </si>
  <si>
    <t>Rate of interest is based on Bank's MCLR (presently 8.10% )</t>
  </si>
  <si>
    <t>Rate of interest is based on Bank's MCLR (presently 7.80% )</t>
  </si>
  <si>
    <t>Rate of interest is based on Bank's MCLR (presently 8.09% )</t>
  </si>
  <si>
    <t>Presently ROI is 8.25%</t>
  </si>
  <si>
    <t>Presently ROI is 9.25%</t>
  </si>
  <si>
    <t>Presently ROI is 7.95%</t>
  </si>
  <si>
    <t>Presently ROI is 10.15%</t>
  </si>
  <si>
    <t>Tenure - 1 Year. Repayable in 6 monthly equal installments commencing from 23.06.2023</t>
  </si>
  <si>
    <t>Corporate gaurantee of MSEB Holding Company</t>
  </si>
  <si>
    <t>Tenure - 1 Year. Repayable in 12 monthly equal installments commencing from 31.12.2022</t>
  </si>
  <si>
    <t>Tenure - 1 Year. Repayable in 12 monthly equal installments commencing from 29.04.2023</t>
  </si>
  <si>
    <t>Tenure - 3 year .36 equal monthly installments</t>
  </si>
  <si>
    <t>Pari-passu charge on movable assets of Khaperkheda TPS Unit 1,2,3 &amp; 4</t>
  </si>
  <si>
    <t>Tenure - 3 years. The facility is proposed to be repaid over 3 years commencing from F.Y.2022-23 (annuel bullet inequal installments - Rs.400 cr each in F.Y.2022-23 &amp; F.Y.2023-24 and Rs.200 crores in F.Y.2024-25</t>
  </si>
  <si>
    <t>Pari-passu charge on movable assets of Koradi TPS Unit 6 &amp; 7</t>
  </si>
  <si>
    <t>Tenure - 5 years. Repayment in 36 equal monthly installments starting from December 2023</t>
  </si>
  <si>
    <t>Govt guarantee provided for the said loan, hence unsecured</t>
  </si>
  <si>
    <t>Tenure - 5 years. Repayment in 12 equal quarterly installments starting from September 2024</t>
  </si>
  <si>
    <t>Tenure- 3 year. Principle amount shall be repayable by 36 equal monthly installments starting from 23.07.2021</t>
  </si>
  <si>
    <t>Tenure- 3 year. Principle amount shall be repayable by 36 equal monthly installments starting from 08.10.2021</t>
  </si>
  <si>
    <t>Total as per Balance sheet</t>
  </si>
  <si>
    <t>diff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</si>
</sst>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43" formatCode="_(* #,##0.00_);_(* \(#,##0.00\);_(* &quot;-&quot;??_);_(@_)"/>
    <numFmt numFmtId="164" formatCode="_ &quot;Rs.&quot;\ * #,##0.00_ ;_ &quot;Rs.&quot;\ * \-#,##0.00_ ;_ &quot;Rs.&quot;\ * &quot;-&quot;??_ ;_ @_ "/>
    <numFmt numFmtId="165" formatCode="0.000"/>
    <numFmt numFmtId="166" formatCode="0.0"/>
    <numFmt numFmtId="167" formatCode="0.00_);\(0.00\)"/>
    <numFmt numFmtId="168" formatCode="0.0_);\(0.0\)"/>
    <numFmt numFmtId="169" formatCode="0.000_);\(0.000\)"/>
    <numFmt numFmtId="170" formatCode="0_);[Red]\(0\)"/>
    <numFmt numFmtId="171" formatCode="0.0_);[Red]\(0.0\)"/>
    <numFmt numFmtId="172" formatCode="0.00_);[Red]\(0.00\)"/>
    <numFmt numFmtId="173" formatCode="0.000_);[Red]\(0.000\)"/>
    <numFmt numFmtId="174" formatCode="0.00000_);[Red]\(0.00000\)"/>
    <numFmt numFmtId="175" formatCode="00000"/>
    <numFmt numFmtId="176" formatCode="0_);\(0\)"/>
    <numFmt numFmtId="177" formatCode="0.0000%"/>
    <numFmt numFmtId="178" formatCode="#,##0;[Red]#,##0"/>
    <numFmt numFmtId="179" formatCode="[$-409]d\-mmm\-yy;@"/>
    <numFmt numFmtId="180" formatCode="_-* #,##0.00_-;\-* #,##0.00_-;_-* &quot;-&quot;??_-;_-@_-"/>
    <numFmt numFmtId="181" formatCode="0.0000000000000"/>
    <numFmt numFmtId="182" formatCode="_(* #,##0.0000000_);_(* \(#,##0.0000000\);_(* &quot;-&quot;??_);_(@_)"/>
    <numFmt numFmtId="183" formatCode="_(* #,##0_);_(* \(#,##0\);_(* &quot;-&quot;??_);_(@_)"/>
    <numFmt numFmtId="184" formatCode="_-* #,##0.0000000_-;\-* #,##0.0000000_-;_-* &quot;-&quot;??_-;_-@_-"/>
    <numFmt numFmtId="185" formatCode="_-* #,##0_-;\-* #,##0_-;_-* &quot;-&quot;??_-;_-@_-"/>
    <numFmt numFmtId="186" formatCode="0.0000000"/>
    <numFmt numFmtId="187" formatCode="0.0000000_);\(0.0000000\)"/>
    <numFmt numFmtId="188" formatCode="0.00000000"/>
    <numFmt numFmtId="189" formatCode="_(* #,##0.000000_);_(* \(#,##0.000000\);_(* &quot;-&quot;??_);_(@_)"/>
    <numFmt numFmtId="190" formatCode="0.000000000"/>
    <numFmt numFmtId="191" formatCode="_(* #,##0.0_);_(* \(#,##0.0\);_(* &quot;-&quot;??_);_(@_)"/>
    <numFmt numFmtId="192" formatCode="_(* #,##0.000_);_(* \(#,##0.000\);_(* &quot;-&quot;??_);_(@_)"/>
    <numFmt numFmtId="193" formatCode="0.000000000000"/>
    <numFmt numFmtId="194" formatCode="_-* #,##0.00000_-;\-* #,##0.00000_-;_-* &quot;-&quot;??_-;_-@_-"/>
    <numFmt numFmtId="195" formatCode="_(* #,##0.000000000_);_(* \(#,##0.000000000\);_(* &quot;-&quot;??_);_(@_)"/>
    <numFmt numFmtId="196" formatCode="_(* #,##0.00000_);_(* \(#,##0.00000\);_(* &quot;-&quot;??_);_(@_)"/>
    <numFmt numFmtId="197" formatCode="0.00000000000000"/>
    <numFmt numFmtId="198" formatCode="0.000000_);\(0.000000\)"/>
    <numFmt numFmtId="199" formatCode="_(* #,##0.00000000_);_(* \(#,##0.00000000\);_(* &quot;-&quot;??_);_(@_)"/>
    <numFmt numFmtId="200" formatCode="_-* #,##0.00000000000000000_-;\-* #,##0.00000000000000000_-;_-* &quot;-&quot;??_-;_-@_-"/>
    <numFmt numFmtId="201" formatCode="0.00000000000"/>
    <numFmt numFmtId="202" formatCode="0.0000"/>
    <numFmt numFmtId="203" formatCode="#,##0.00000"/>
    <numFmt numFmtId="204" formatCode="0.000000"/>
    <numFmt numFmtId="205" formatCode="_-* #,##0.0000000_-;\-* #,##0.0000000_-;_-* &quot;-&quot;???????_-;_-@_-"/>
    <numFmt numFmtId="206" formatCode="_ * #,##0.00_ ;_ * \-#,##0.00_ ;_ * &quot;-&quot;??_ ;_ @_ "/>
    <numFmt numFmtId="207" formatCode="0.000000000000000000"/>
    <numFmt numFmtId="208" formatCode="#,##0.000000000000"/>
    <numFmt numFmtId="209" formatCode="0.00000"/>
    <numFmt numFmtId="210" formatCode="_-* #,##0.000000_-;\-* #,##0.000000_-;_-* &quot;-&quot;??_-;_-@_-"/>
    <numFmt numFmtId="211" formatCode="0.00000000_);\(0.00000000\)"/>
    <numFmt numFmtId="212" formatCode="0.00000000000_);[Red]\(0.00000000000\)"/>
    <numFmt numFmtId="213" formatCode="#,##0.00;[Red]#,##0.00"/>
  </numFmts>
  <fonts count="104"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u/>
      <sz val="10"/>
      <color indexed="12"/>
      <name val="Arial"/>
      <family val="2"/>
    </font>
    <font>
      <b/>
      <sz val="11"/>
      <name val="Times New Roman"/>
      <family val="1"/>
    </font>
    <font>
      <sz val="11"/>
      <name val="Times New Roman"/>
      <family val="1"/>
    </font>
    <font>
      <sz val="11"/>
      <color theme="1"/>
      <name val="Calibri"/>
      <family val="2"/>
      <scheme val="minor"/>
    </font>
    <font>
      <b/>
      <sz val="11"/>
      <color theme="0"/>
      <name val="Times New Roman"/>
      <family val="1"/>
    </font>
    <font>
      <sz val="11"/>
      <color theme="0"/>
      <name val="Times New Roman"/>
      <family val="1"/>
    </font>
    <font>
      <sz val="11"/>
      <color rgb="FFFF0000"/>
      <name val="Times New Roman"/>
      <family val="1"/>
    </font>
    <font>
      <sz val="11"/>
      <color theme="1"/>
      <name val="Times New Roman"/>
      <family val="1"/>
    </font>
    <font>
      <b/>
      <sz val="12"/>
      <color indexed="18"/>
      <name val="Arial"/>
      <family val="2"/>
    </font>
    <font>
      <sz val="10"/>
      <color indexed="18"/>
      <name val="Arial"/>
      <family val="2"/>
    </font>
    <font>
      <u/>
      <sz val="10"/>
      <color theme="10"/>
      <name val="Arial"/>
      <family val="2"/>
    </font>
    <font>
      <b/>
      <sz val="11"/>
      <color theme="1"/>
      <name val="Times New Roman"/>
      <family val="1"/>
    </font>
    <font>
      <b/>
      <sz val="11"/>
      <color theme="1"/>
      <name val="Calibri"/>
      <family val="2"/>
      <scheme val="minor"/>
    </font>
    <font>
      <sz val="11"/>
      <color theme="0"/>
      <name val="Calibri"/>
      <family val="2"/>
      <scheme val="minor"/>
    </font>
    <font>
      <sz val="10"/>
      <color theme="1"/>
      <name val="Arial"/>
      <family val="2"/>
    </font>
    <font>
      <sz val="11"/>
      <color indexed="8"/>
      <name val="Calibri"/>
      <family val="2"/>
    </font>
    <font>
      <b/>
      <sz val="11"/>
      <color indexed="8"/>
      <name val="Arial"/>
      <family val="2"/>
    </font>
    <font>
      <b/>
      <sz val="12"/>
      <color indexed="8"/>
      <name val="Arial"/>
      <family val="2"/>
    </font>
    <font>
      <b/>
      <sz val="14"/>
      <color indexed="8"/>
      <name val="Arial"/>
      <family val="2"/>
    </font>
    <font>
      <sz val="11"/>
      <name val="Arial"/>
      <family val="2"/>
    </font>
    <font>
      <sz val="11"/>
      <color indexed="8"/>
      <name val="Arial"/>
      <family val="2"/>
    </font>
    <font>
      <b/>
      <sz val="10"/>
      <name val="Arial"/>
      <family val="2"/>
    </font>
    <font>
      <b/>
      <u/>
      <sz val="11"/>
      <color indexed="8"/>
      <name val="Arial"/>
      <family val="2"/>
    </font>
    <font>
      <b/>
      <sz val="11"/>
      <name val="Arial"/>
      <family val="2"/>
    </font>
    <font>
      <sz val="12"/>
      <color indexed="8"/>
      <name val="Arial"/>
      <family val="2"/>
    </font>
    <font>
      <sz val="12"/>
      <color indexed="10"/>
      <name val="Arial"/>
      <family val="2"/>
    </font>
    <font>
      <b/>
      <sz val="9"/>
      <name val="Arial"/>
      <family val="2"/>
    </font>
    <font>
      <sz val="11"/>
      <color theme="0"/>
      <name val="Arial"/>
      <family val="2"/>
    </font>
    <font>
      <sz val="12"/>
      <color rgb="FF00B050"/>
      <name val="Arial"/>
      <family val="2"/>
    </font>
    <font>
      <sz val="12"/>
      <name val="Arial"/>
      <family val="2"/>
    </font>
    <font>
      <vertAlign val="superscript"/>
      <sz val="10"/>
      <name val="Arial"/>
      <family val="2"/>
    </font>
    <font>
      <b/>
      <sz val="12"/>
      <name val="Arial"/>
      <family val="2"/>
    </font>
    <font>
      <b/>
      <sz val="14"/>
      <name val="Arial"/>
      <family val="2"/>
    </font>
    <font>
      <b/>
      <u/>
      <sz val="11"/>
      <name val="Arial"/>
      <family val="2"/>
    </font>
    <font>
      <sz val="9"/>
      <name val="Arial"/>
      <family val="2"/>
    </font>
    <font>
      <b/>
      <sz val="12"/>
      <color rgb="FFFF0000"/>
      <name val="Arial"/>
      <family val="2"/>
    </font>
    <font>
      <sz val="11"/>
      <color theme="1"/>
      <name val="Arial"/>
      <family val="2"/>
    </font>
    <font>
      <b/>
      <sz val="11"/>
      <color theme="1"/>
      <name val="Arial"/>
      <family val="2"/>
    </font>
    <font>
      <b/>
      <sz val="11"/>
      <color indexed="10"/>
      <name val="Arial"/>
      <family val="2"/>
    </font>
    <font>
      <sz val="11"/>
      <color indexed="9"/>
      <name val="Arial"/>
      <family val="2"/>
    </font>
    <font>
      <i/>
      <sz val="11"/>
      <color indexed="8"/>
      <name val="Arial"/>
      <family val="2"/>
    </font>
    <font>
      <u/>
      <sz val="10"/>
      <name val="Arial"/>
      <family val="2"/>
    </font>
    <font>
      <sz val="11"/>
      <color rgb="FFFF0000"/>
      <name val="Arial"/>
      <family val="2"/>
    </font>
    <font>
      <sz val="10"/>
      <color rgb="FFFF0000"/>
      <name val="Arial"/>
      <family val="2"/>
    </font>
    <font>
      <sz val="7"/>
      <name val="Arial"/>
      <family val="2"/>
    </font>
    <font>
      <sz val="10"/>
      <color rgb="FF00B050"/>
      <name val="Arial"/>
      <family val="2"/>
    </font>
    <font>
      <sz val="8"/>
      <name val="Arial"/>
      <family val="2"/>
    </font>
    <font>
      <sz val="10"/>
      <color rgb="FF00863D"/>
      <name val="Arial"/>
      <family val="2"/>
    </font>
    <font>
      <sz val="11"/>
      <name val="Calibri"/>
      <family val="2"/>
    </font>
    <font>
      <sz val="10"/>
      <color indexed="8"/>
      <name val="Arial"/>
      <family val="2"/>
    </font>
    <font>
      <b/>
      <sz val="10"/>
      <color indexed="8"/>
      <name val="Arial"/>
      <family val="2"/>
    </font>
    <font>
      <b/>
      <sz val="10"/>
      <color rgb="FFFF0000"/>
      <name val="Arial"/>
      <family val="2"/>
    </font>
    <font>
      <b/>
      <sz val="10"/>
      <color rgb="FF00B050"/>
      <name val="Arial"/>
      <family val="2"/>
    </font>
    <font>
      <sz val="10"/>
      <color rgb="FF92D050"/>
      <name val="Arial"/>
      <family val="2"/>
    </font>
    <font>
      <b/>
      <sz val="11"/>
      <name val="Calibri"/>
      <family val="2"/>
      <scheme val="minor"/>
    </font>
    <font>
      <b/>
      <sz val="11"/>
      <color rgb="FFFF0000"/>
      <name val="Calibri"/>
      <family val="2"/>
      <scheme val="minor"/>
    </font>
    <font>
      <b/>
      <sz val="11"/>
      <color rgb="FF92D050"/>
      <name val="Calibri"/>
      <family val="2"/>
      <scheme val="minor"/>
    </font>
    <font>
      <b/>
      <sz val="11"/>
      <name val="Calibri"/>
      <family val="2"/>
    </font>
    <font>
      <b/>
      <sz val="11"/>
      <color rgb="FFFF0000"/>
      <name val="Arial"/>
      <family val="2"/>
    </font>
    <font>
      <b/>
      <sz val="10"/>
      <color theme="1"/>
      <name val="Arial"/>
      <family val="2"/>
    </font>
    <font>
      <sz val="10"/>
      <color theme="0"/>
      <name val="Arial"/>
      <family val="2"/>
    </font>
    <font>
      <b/>
      <sz val="14"/>
      <color indexed="8"/>
      <name val="Calibri"/>
      <family val="2"/>
    </font>
    <font>
      <sz val="11"/>
      <color indexed="9"/>
      <name val="Calibri"/>
      <family val="2"/>
    </font>
    <font>
      <b/>
      <sz val="10"/>
      <name val="Tahoma"/>
      <family val="2"/>
    </font>
    <font>
      <sz val="10"/>
      <name val="Tahoma"/>
      <family val="2"/>
    </font>
    <font>
      <b/>
      <u/>
      <sz val="12"/>
      <color indexed="56"/>
      <name val="Cambria"/>
      <family val="1"/>
    </font>
    <font>
      <b/>
      <sz val="12"/>
      <color indexed="8"/>
      <name val="Garamond"/>
      <family val="1"/>
    </font>
    <font>
      <sz val="10"/>
      <name val="Times New Roman"/>
      <family val="1"/>
    </font>
    <font>
      <b/>
      <sz val="11"/>
      <color indexed="56"/>
      <name val="Cambria"/>
      <family val="1"/>
    </font>
    <font>
      <sz val="12"/>
      <color indexed="56"/>
      <name val="Cambria"/>
      <family val="1"/>
    </font>
    <font>
      <b/>
      <sz val="12"/>
      <color indexed="56"/>
      <name val="Cambria"/>
      <family val="1"/>
    </font>
    <font>
      <b/>
      <sz val="11"/>
      <color indexed="8"/>
      <name val="Calibri"/>
      <family val="2"/>
    </font>
    <font>
      <sz val="11"/>
      <color theme="0"/>
      <name val="Calibri"/>
      <family val="2"/>
    </font>
    <font>
      <b/>
      <sz val="11"/>
      <color theme="0"/>
      <name val="Calibri"/>
      <family val="2"/>
    </font>
    <font>
      <sz val="11"/>
      <name val="Calibri"/>
      <family val="2"/>
      <scheme val="minor"/>
    </font>
    <font>
      <b/>
      <sz val="12"/>
      <color indexed="8"/>
      <name val="Calibri"/>
      <family val="2"/>
    </font>
    <font>
      <b/>
      <sz val="12"/>
      <name val="Cambria"/>
      <family val="1"/>
    </font>
    <font>
      <sz val="11"/>
      <name val="Cambria"/>
      <family val="1"/>
    </font>
    <font>
      <b/>
      <sz val="11"/>
      <name val="Cambria"/>
      <family val="1"/>
    </font>
    <font>
      <b/>
      <sz val="10"/>
      <color theme="0"/>
      <name val="Arial"/>
      <family val="2"/>
    </font>
    <font>
      <b/>
      <sz val="11"/>
      <color theme="0"/>
      <name val="Arial"/>
      <family val="2"/>
    </font>
    <font>
      <b/>
      <sz val="12"/>
      <color theme="0"/>
      <name val="Cambria"/>
      <family val="1"/>
    </font>
    <font>
      <b/>
      <u/>
      <sz val="12"/>
      <name val="Arial"/>
      <family val="2"/>
    </font>
    <font>
      <sz val="12"/>
      <color theme="0"/>
      <name val="Arial"/>
      <family val="2"/>
    </font>
    <font>
      <b/>
      <sz val="12"/>
      <name val="Calibri"/>
      <family val="2"/>
    </font>
    <font>
      <sz val="12"/>
      <name val="Calibri"/>
      <family val="2"/>
    </font>
    <font>
      <sz val="12"/>
      <color indexed="8"/>
      <name val="Calibri"/>
      <family val="2"/>
    </font>
    <font>
      <b/>
      <vertAlign val="superscript"/>
      <sz val="10"/>
      <name val="Arial"/>
      <family val="2"/>
    </font>
    <font>
      <b/>
      <vertAlign val="superscript"/>
      <sz val="12"/>
      <color indexed="8"/>
      <name val="Arial"/>
      <family val="2"/>
    </font>
    <font>
      <b/>
      <vertAlign val="superscript"/>
      <sz val="12"/>
      <name val="Arial"/>
      <family val="2"/>
    </font>
    <font>
      <sz val="12"/>
      <name val="Cambria"/>
      <family val="1"/>
    </font>
    <font>
      <sz val="11"/>
      <color indexed="10"/>
      <name val="Calibri"/>
      <family val="2"/>
    </font>
    <font>
      <sz val="12"/>
      <color theme="0"/>
      <name val="Calibri"/>
      <family val="2"/>
    </font>
    <font>
      <b/>
      <sz val="12"/>
      <color theme="1"/>
      <name val="Calibri"/>
      <family val="2"/>
      <scheme val="minor"/>
    </font>
    <font>
      <sz val="11"/>
      <color rgb="FF000000"/>
      <name val="Times New Roman"/>
      <family val="1"/>
    </font>
    <font>
      <sz val="10"/>
      <color theme="1"/>
      <name val="Times New Roman"/>
      <family val="1"/>
    </font>
    <font>
      <b/>
      <sz val="9"/>
      <color indexed="81"/>
      <name val="Tahoma"/>
      <family val="2"/>
    </font>
    <font>
      <sz val="9"/>
      <color indexed="81"/>
      <name val="Tahoma"/>
      <family val="2"/>
    </font>
  </fonts>
  <fills count="1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indexed="9"/>
        <bgColor indexed="64"/>
      </patternFill>
    </fill>
    <fill>
      <patternFill patternType="solid">
        <fgColor theme="7" tint="0.39997558519241921"/>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theme="2" tint="-0.49998474074526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CC66FF"/>
        <bgColor indexed="64"/>
      </patternFill>
    </fill>
    <fill>
      <patternFill patternType="solid">
        <fgColor rgb="FF00863D"/>
        <bgColor indexed="64"/>
      </patternFill>
    </fill>
    <fill>
      <patternFill patternType="solid">
        <fgColor rgb="FF00B05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s>
  <cellStyleXfs count="47">
    <xf numFmtId="170" fontId="0" fillId="0" borderId="0"/>
    <xf numFmtId="167" fontId="3" fillId="0" borderId="0" applyFont="0" applyFill="0" applyBorder="0" applyAlignment="0" applyProtection="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xf numFmtId="0" fontId="4" fillId="0" borderId="0"/>
    <xf numFmtId="0" fontId="5" fillId="0" borderId="0"/>
    <xf numFmtId="170" fontId="4" fillId="0" borderId="0"/>
    <xf numFmtId="0" fontId="9" fillId="0" borderId="0"/>
    <xf numFmtId="9" fontId="3" fillId="0" borderId="0" applyFont="0" applyFill="0" applyBorder="0" applyAlignment="0" applyProtection="0"/>
    <xf numFmtId="170" fontId="16" fillId="0" borderId="0" applyNumberFormat="0" applyFill="0" applyBorder="0" applyAlignment="0" applyProtection="0"/>
    <xf numFmtId="179" fontId="21" fillId="0" borderId="0" applyFont="0" applyFill="0" applyBorder="0" applyAlignment="0" applyProtection="0"/>
    <xf numFmtId="0" fontId="2" fillId="0" borderId="0"/>
    <xf numFmtId="179" fontId="21" fillId="0" borderId="0" applyFont="0" applyFill="0" applyBorder="0" applyAlignment="0" applyProtection="0"/>
    <xf numFmtId="0" fontId="21" fillId="0" borderId="0"/>
    <xf numFmtId="0" fontId="2" fillId="0" borderId="0"/>
    <xf numFmtId="0" fontId="2" fillId="0" borderId="0"/>
    <xf numFmtId="0" fontId="3" fillId="0" borderId="0"/>
    <xf numFmtId="0" fontId="2" fillId="0" borderId="0"/>
    <xf numFmtId="0" fontId="2" fillId="0" borderId="0"/>
    <xf numFmtId="0" fontId="2" fillId="0" borderId="0"/>
    <xf numFmtId="0" fontId="3" fillId="0" borderId="0"/>
    <xf numFmtId="0" fontId="2" fillId="0" borderId="0"/>
    <xf numFmtId="206" fontId="21" fillId="0" borderId="0" applyFont="0" applyFill="0" applyBorder="0" applyAlignment="0" applyProtection="0"/>
    <xf numFmtId="206" fontId="21" fillId="0" borderId="0" applyFont="0" applyFill="0" applyBorder="0" applyAlignment="0" applyProtection="0"/>
    <xf numFmtId="0" fontId="2" fillId="0" borderId="0"/>
    <xf numFmtId="179" fontId="21" fillId="0" borderId="0" applyFont="0" applyFill="0" applyBorder="0" applyAlignment="0" applyProtection="0"/>
    <xf numFmtId="0" fontId="21" fillId="0" borderId="0"/>
    <xf numFmtId="0" fontId="2" fillId="0" borderId="0"/>
    <xf numFmtId="43" fontId="3" fillId="0" borderId="0" applyFont="0" applyFill="0" applyBorder="0" applyAlignment="0" applyProtection="0"/>
    <xf numFmtId="0" fontId="2" fillId="0" borderId="0"/>
    <xf numFmtId="0" fontId="2" fillId="0" borderId="0"/>
    <xf numFmtId="180" fontId="3" fillId="0" borderId="0" applyFont="0" applyFill="0" applyBorder="0" applyAlignment="0" applyProtection="0"/>
    <xf numFmtId="180" fontId="21" fillId="0" borderId="0" applyFont="0" applyFill="0" applyBorder="0" applyAlignment="0" applyProtection="0"/>
    <xf numFmtId="0" fontId="2" fillId="0" borderId="0"/>
    <xf numFmtId="43" fontId="3" fillId="0" borderId="0" applyFont="0" applyFill="0" applyBorder="0" applyAlignment="0" applyProtection="0"/>
    <xf numFmtId="0" fontId="2" fillId="0" borderId="0"/>
    <xf numFmtId="0" fontId="2" fillId="0" borderId="0"/>
    <xf numFmtId="0" fontId="2" fillId="0" borderId="0"/>
    <xf numFmtId="180" fontId="21" fillId="0" borderId="0" applyFont="0" applyFill="0" applyBorder="0" applyAlignment="0" applyProtection="0"/>
    <xf numFmtId="9" fontId="21" fillId="0" borderId="0" applyFont="0" applyFill="0" applyBorder="0" applyAlignment="0" applyProtection="0"/>
    <xf numFmtId="180" fontId="3" fillId="0" borderId="0" applyFont="0" applyFill="0" applyBorder="0" applyAlignment="0" applyProtection="0"/>
    <xf numFmtId="0" fontId="1" fillId="0" borderId="0"/>
    <xf numFmtId="0" fontId="1" fillId="0" borderId="0"/>
    <xf numFmtId="0" fontId="1" fillId="0" borderId="0"/>
    <xf numFmtId="0" fontId="1" fillId="0" borderId="0"/>
    <xf numFmtId="170" fontId="3" fillId="0" borderId="0"/>
  </cellStyleXfs>
  <cellXfs count="1809">
    <xf numFmtId="170" fontId="0" fillId="0" borderId="0" xfId="0"/>
    <xf numFmtId="0" fontId="7" fillId="0" borderId="0" xfId="5" applyFont="1" applyAlignment="1">
      <alignment horizontal="center" vertical="center"/>
    </xf>
    <xf numFmtId="0" fontId="7" fillId="0" borderId="0" xfId="5" applyFont="1" applyAlignment="1">
      <alignment horizontal="center"/>
    </xf>
    <xf numFmtId="170" fontId="8" fillId="0" borderId="0" xfId="0" applyFont="1" applyAlignment="1">
      <alignment vertical="center"/>
    </xf>
    <xf numFmtId="170" fontId="8" fillId="0" borderId="0" xfId="0" applyFont="1" applyAlignment="1">
      <alignment horizontal="center" vertical="center"/>
    </xf>
    <xf numFmtId="170" fontId="7" fillId="0" borderId="0" xfId="0" applyFont="1" applyAlignment="1">
      <alignment horizontal="center" vertical="center"/>
    </xf>
    <xf numFmtId="170" fontId="7" fillId="2" borderId="1" xfId="0" applyFont="1" applyFill="1" applyBorder="1" applyAlignment="1">
      <alignment horizontal="center" vertical="center" wrapText="1"/>
    </xf>
    <xf numFmtId="170" fontId="7" fillId="0" borderId="0" xfId="0" applyFont="1" applyAlignment="1">
      <alignment vertical="center" wrapText="1"/>
    </xf>
    <xf numFmtId="170" fontId="7" fillId="0" borderId="1" xfId="0" applyFont="1" applyBorder="1" applyAlignment="1">
      <alignment horizontal="center" vertical="center"/>
    </xf>
    <xf numFmtId="170" fontId="7" fillId="0" borderId="1" xfId="0" applyFont="1" applyBorder="1" applyAlignment="1">
      <alignment vertical="center"/>
    </xf>
    <xf numFmtId="170" fontId="8" fillId="0" borderId="1" xfId="0" applyFont="1" applyBorder="1" applyAlignment="1">
      <alignment vertical="center"/>
    </xf>
    <xf numFmtId="170" fontId="8" fillId="0" borderId="1" xfId="0" applyFont="1" applyBorder="1" applyAlignment="1">
      <alignment horizontal="center" vertical="center"/>
    </xf>
    <xf numFmtId="172" fontId="8" fillId="0" borderId="1" xfId="0" applyNumberFormat="1" applyFont="1" applyBorder="1" applyAlignment="1">
      <alignment vertical="center"/>
    </xf>
    <xf numFmtId="172" fontId="8" fillId="0" borderId="0" xfId="0" applyNumberFormat="1" applyFont="1" applyAlignment="1">
      <alignment vertical="center"/>
    </xf>
    <xf numFmtId="38" fontId="8" fillId="0" borderId="1" xfId="0" applyNumberFormat="1" applyFont="1" applyBorder="1" applyAlignment="1">
      <alignment vertical="center"/>
    </xf>
    <xf numFmtId="38" fontId="8" fillId="0" borderId="0" xfId="0" applyNumberFormat="1" applyFont="1" applyAlignment="1">
      <alignment vertical="center"/>
    </xf>
    <xf numFmtId="170" fontId="8" fillId="0" borderId="1" xfId="0" applyFont="1" applyBorder="1" applyAlignment="1">
      <alignment horizontal="right" vertical="center"/>
    </xf>
    <xf numFmtId="38" fontId="7" fillId="0" borderId="1" xfId="0" applyNumberFormat="1" applyFont="1" applyBorder="1" applyAlignment="1">
      <alignment vertical="center"/>
    </xf>
    <xf numFmtId="38" fontId="7" fillId="0" borderId="0" xfId="0" applyNumberFormat="1" applyFont="1" applyAlignment="1">
      <alignment vertical="center"/>
    </xf>
    <xf numFmtId="171" fontId="8" fillId="0" borderId="1" xfId="0" applyNumberFormat="1" applyFont="1" applyBorder="1" applyAlignment="1">
      <alignment horizontal="center" vertical="center"/>
    </xf>
    <xf numFmtId="174" fontId="8" fillId="0" borderId="0" xfId="0" applyNumberFormat="1" applyFont="1" applyAlignment="1">
      <alignment vertical="center"/>
    </xf>
    <xf numFmtId="170" fontId="7" fillId="0" borderId="1" xfId="0" applyFont="1" applyBorder="1" applyAlignment="1">
      <alignment horizontal="right" vertical="center"/>
    </xf>
    <xf numFmtId="170" fontId="7" fillId="0" borderId="0" xfId="0" applyFont="1" applyAlignment="1">
      <alignment vertical="center"/>
    </xf>
    <xf numFmtId="38" fontId="8" fillId="3" borderId="0" xfId="0" applyNumberFormat="1" applyFont="1" applyFill="1" applyAlignment="1">
      <alignment vertical="center"/>
    </xf>
    <xf numFmtId="173" fontId="8" fillId="0" borderId="0" xfId="0" applyNumberFormat="1" applyFont="1" applyAlignment="1">
      <alignment vertical="center"/>
    </xf>
    <xf numFmtId="0" fontId="7" fillId="0" borderId="1" xfId="5" applyFont="1" applyBorder="1" applyAlignment="1">
      <alignment horizontal="center" vertical="center" wrapText="1"/>
    </xf>
    <xf numFmtId="170" fontId="7" fillId="0" borderId="1" xfId="0" applyFont="1" applyBorder="1" applyAlignment="1">
      <alignment horizontal="center" vertical="center" wrapText="1"/>
    </xf>
    <xf numFmtId="0" fontId="8" fillId="0" borderId="1" xfId="5" applyFont="1" applyBorder="1" applyAlignment="1">
      <alignment horizontal="left" vertical="center"/>
    </xf>
    <xf numFmtId="0" fontId="8" fillId="0" borderId="1" xfId="5" applyFont="1" applyBorder="1" applyAlignment="1">
      <alignment horizontal="center" vertical="center" wrapText="1"/>
    </xf>
    <xf numFmtId="174" fontId="8" fillId="0" borderId="1" xfId="5" applyNumberFormat="1" applyFont="1" applyBorder="1" applyAlignment="1">
      <alignment vertical="center"/>
    </xf>
    <xf numFmtId="0" fontId="7" fillId="0" borderId="1" xfId="5" applyFont="1" applyBorder="1" applyAlignment="1">
      <alignment horizontal="left" vertical="center"/>
    </xf>
    <xf numFmtId="0" fontId="8" fillId="0" borderId="1" xfId="5" applyFont="1" applyBorder="1" applyAlignment="1">
      <alignment horizontal="center" vertical="center"/>
    </xf>
    <xf numFmtId="174" fontId="8" fillId="0" borderId="1" xfId="5" applyNumberFormat="1" applyFont="1" applyBorder="1" applyAlignment="1">
      <alignment vertical="center" wrapText="1"/>
    </xf>
    <xf numFmtId="0" fontId="8" fillId="0" borderId="1" xfId="5" applyFont="1" applyBorder="1" applyAlignment="1">
      <alignment horizontal="left" vertical="center" wrapText="1"/>
    </xf>
    <xf numFmtId="40" fontId="7" fillId="0" borderId="1" xfId="0" applyNumberFormat="1" applyFont="1" applyBorder="1" applyAlignment="1">
      <alignment horizontal="right" vertical="center"/>
    </xf>
    <xf numFmtId="40" fontId="8" fillId="0" borderId="1" xfId="0" applyNumberFormat="1" applyFont="1" applyBorder="1" applyAlignment="1">
      <alignment vertical="center"/>
    </xf>
    <xf numFmtId="0" fontId="7" fillId="2" borderId="1" xfId="5" applyFont="1" applyFill="1" applyBorder="1" applyAlignment="1">
      <alignment horizontal="center" vertical="center" wrapText="1"/>
    </xf>
    <xf numFmtId="172" fontId="7" fillId="0" borderId="0" xfId="0" applyNumberFormat="1" applyFont="1" applyAlignment="1">
      <alignment horizontal="right" vertical="center"/>
    </xf>
    <xf numFmtId="170" fontId="7" fillId="0" borderId="0" xfId="0" applyFont="1" applyAlignment="1">
      <alignment horizontal="right" vertical="center"/>
    </xf>
    <xf numFmtId="37" fontId="8" fillId="0" borderId="1" xfId="0" applyNumberFormat="1" applyFont="1" applyBorder="1" applyAlignment="1">
      <alignment vertical="center"/>
    </xf>
    <xf numFmtId="170" fontId="7" fillId="0" borderId="1" xfId="0" applyFont="1" applyBorder="1" applyAlignment="1">
      <alignment vertical="center" wrapText="1"/>
    </xf>
    <xf numFmtId="170" fontId="7" fillId="2" borderId="1" xfId="0" applyFont="1" applyFill="1" applyBorder="1" applyAlignment="1">
      <alignment horizontal="center" vertical="center"/>
    </xf>
    <xf numFmtId="170" fontId="8" fillId="0" borderId="1" xfId="0" applyFont="1" applyBorder="1" applyAlignment="1">
      <alignment horizontal="center" vertical="center" wrapText="1"/>
    </xf>
    <xf numFmtId="170" fontId="8" fillId="0" borderId="1" xfId="0" applyFont="1" applyBorder="1" applyAlignment="1">
      <alignment horizontal="left" vertical="center"/>
    </xf>
    <xf numFmtId="170" fontId="8" fillId="0" borderId="1" xfId="0" applyFont="1" applyBorder="1" applyAlignment="1">
      <alignment vertical="center" wrapText="1"/>
    </xf>
    <xf numFmtId="170" fontId="8" fillId="0" borderId="1" xfId="0" applyFont="1" applyBorder="1" applyAlignment="1">
      <alignment horizontal="center" vertical="top"/>
    </xf>
    <xf numFmtId="3" fontId="8" fillId="0" borderId="1" xfId="0" applyNumberFormat="1" applyFont="1" applyBorder="1" applyAlignment="1">
      <alignment horizontal="right"/>
    </xf>
    <xf numFmtId="168" fontId="8" fillId="0" borderId="1" xfId="0" applyNumberFormat="1" applyFont="1" applyBorder="1" applyAlignment="1">
      <alignment horizontal="center" vertical="center"/>
    </xf>
    <xf numFmtId="168" fontId="8" fillId="0" borderId="1" xfId="0" applyNumberFormat="1" applyFont="1" applyBorder="1" applyAlignment="1">
      <alignment vertical="center"/>
    </xf>
    <xf numFmtId="170" fontId="7" fillId="0" borderId="0" xfId="0" applyFont="1" applyAlignment="1">
      <alignment horizontal="left" vertical="center"/>
    </xf>
    <xf numFmtId="3" fontId="8" fillId="0" borderId="0" xfId="0" applyNumberFormat="1" applyFont="1"/>
    <xf numFmtId="164" fontId="7" fillId="0" borderId="0" xfId="1" applyNumberFormat="1" applyFont="1" applyFill="1" applyBorder="1" applyAlignment="1">
      <alignment vertical="center"/>
    </xf>
    <xf numFmtId="170" fontId="8" fillId="3" borderId="0" xfId="0" applyFont="1" applyFill="1" applyAlignment="1">
      <alignment vertical="center"/>
    </xf>
    <xf numFmtId="170" fontId="7" fillId="2" borderId="1" xfId="0" quotePrefix="1" applyFont="1" applyFill="1" applyBorder="1" applyAlignment="1">
      <alignment horizontal="center" vertical="center" wrapText="1"/>
    </xf>
    <xf numFmtId="168" fontId="7" fillId="0" borderId="1" xfId="0" applyNumberFormat="1" applyFont="1" applyBorder="1" applyAlignment="1">
      <alignment horizontal="center" vertical="center"/>
    </xf>
    <xf numFmtId="3" fontId="7" fillId="0" borderId="1" xfId="0" applyNumberFormat="1" applyFont="1" applyBorder="1"/>
    <xf numFmtId="3" fontId="8" fillId="0" borderId="1" xfId="0" applyNumberFormat="1" applyFont="1" applyBorder="1"/>
    <xf numFmtId="168" fontId="8" fillId="0" borderId="1" xfId="0" applyNumberFormat="1" applyFont="1" applyBorder="1" applyAlignment="1">
      <alignment horizontal="center" vertical="center" wrapText="1"/>
    </xf>
    <xf numFmtId="169" fontId="8" fillId="0" borderId="1" xfId="0" applyNumberFormat="1" applyFont="1" applyBorder="1" applyAlignment="1">
      <alignment horizontal="center" vertical="center"/>
    </xf>
    <xf numFmtId="38" fontId="8" fillId="0" borderId="1" xfId="0" applyNumberFormat="1" applyFont="1" applyBorder="1"/>
    <xf numFmtId="38" fontId="7" fillId="0" borderId="1" xfId="0" applyNumberFormat="1" applyFont="1" applyBorder="1"/>
    <xf numFmtId="170" fontId="7" fillId="0" borderId="0" xfId="0" applyFont="1" applyAlignment="1">
      <alignment horizontal="left"/>
    </xf>
    <xf numFmtId="170" fontId="8" fillId="0" borderId="0" xfId="0" applyFont="1" applyAlignment="1">
      <alignment vertical="center" wrapText="1"/>
    </xf>
    <xf numFmtId="3" fontId="7" fillId="0" borderId="1" xfId="0" applyNumberFormat="1" applyFont="1" applyBorder="1" applyAlignment="1">
      <alignment vertical="center"/>
    </xf>
    <xf numFmtId="3" fontId="8" fillId="0" borderId="1" xfId="0" applyNumberFormat="1" applyFont="1" applyBorder="1" applyAlignment="1">
      <alignment vertical="center"/>
    </xf>
    <xf numFmtId="14" fontId="8" fillId="0" borderId="1" xfId="0" applyNumberFormat="1" applyFont="1" applyBorder="1" applyAlignment="1">
      <alignment horizontal="center" vertical="center" wrapText="1"/>
    </xf>
    <xf numFmtId="170" fontId="7" fillId="0" borderId="1" xfId="0" applyFont="1" applyBorder="1" applyAlignment="1">
      <alignment horizontal="left" vertical="center"/>
    </xf>
    <xf numFmtId="170" fontId="7" fillId="0" borderId="0" xfId="0" applyFont="1" applyAlignment="1">
      <alignment vertical="top"/>
    </xf>
    <xf numFmtId="3" fontId="10" fillId="0" borderId="0" xfId="0" applyNumberFormat="1" applyFont="1" applyAlignment="1">
      <alignment vertical="center"/>
    </xf>
    <xf numFmtId="170" fontId="7" fillId="0" borderId="0" xfId="0" applyFont="1" applyAlignment="1">
      <alignment horizontal="left" vertical="top"/>
    </xf>
    <xf numFmtId="170" fontId="8" fillId="0" borderId="0" xfId="0" applyFont="1" applyAlignment="1">
      <alignment vertical="top"/>
    </xf>
    <xf numFmtId="166" fontId="8" fillId="0" borderId="1" xfId="0" applyNumberFormat="1" applyFont="1" applyBorder="1" applyAlignment="1">
      <alignment horizontal="center" vertical="top" wrapText="1"/>
    </xf>
    <xf numFmtId="1" fontId="11" fillId="0" borderId="1" xfId="0" applyNumberFormat="1" applyFont="1" applyBorder="1" applyAlignment="1">
      <alignment horizontal="center" vertical="center"/>
    </xf>
    <xf numFmtId="38" fontId="11" fillId="0" borderId="1" xfId="0" applyNumberFormat="1" applyFont="1" applyBorder="1" applyAlignment="1">
      <alignment vertical="center"/>
    </xf>
    <xf numFmtId="165" fontId="8" fillId="0" borderId="1" xfId="0" applyNumberFormat="1" applyFont="1" applyBorder="1" applyAlignment="1">
      <alignment horizontal="center" vertical="center"/>
    </xf>
    <xf numFmtId="166" fontId="8" fillId="0" borderId="1" xfId="0" applyNumberFormat="1" applyFont="1" applyBorder="1" applyAlignment="1">
      <alignment vertical="center"/>
    </xf>
    <xf numFmtId="170" fontId="7" fillId="0" borderId="0" xfId="0" applyFont="1" applyAlignment="1">
      <alignment vertical="top" wrapText="1"/>
    </xf>
    <xf numFmtId="38" fontId="8" fillId="0" borderId="2" xfId="0" applyNumberFormat="1" applyFont="1" applyBorder="1" applyAlignment="1">
      <alignment vertical="center"/>
    </xf>
    <xf numFmtId="38" fontId="8" fillId="0" borderId="3" xfId="0" applyNumberFormat="1" applyFont="1" applyBorder="1" applyAlignment="1">
      <alignment vertical="center"/>
    </xf>
    <xf numFmtId="170" fontId="7" fillId="0" borderId="0" xfId="0" applyFont="1" applyAlignment="1">
      <alignment horizontal="center" vertical="top"/>
    </xf>
    <xf numFmtId="1" fontId="7" fillId="2" borderId="1"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166" fontId="8" fillId="0" borderId="0" xfId="0" applyNumberFormat="1" applyFont="1" applyAlignment="1">
      <alignment vertical="center"/>
    </xf>
    <xf numFmtId="1" fontId="8" fillId="0" borderId="0" xfId="0" applyNumberFormat="1" applyFont="1" applyAlignment="1">
      <alignment vertical="center"/>
    </xf>
    <xf numFmtId="165" fontId="8" fillId="0" borderId="0" xfId="0" applyNumberFormat="1" applyFont="1" applyAlignment="1">
      <alignment horizontal="center" vertical="center"/>
    </xf>
    <xf numFmtId="1" fontId="8" fillId="0" borderId="0" xfId="0" applyNumberFormat="1" applyFont="1" applyAlignment="1">
      <alignment horizontal="center" vertical="center"/>
    </xf>
    <xf numFmtId="166" fontId="8" fillId="0" borderId="0" xfId="0" applyNumberFormat="1" applyFont="1" applyAlignment="1">
      <alignment horizontal="center" vertical="center"/>
    </xf>
    <xf numFmtId="1" fontId="8" fillId="0" borderId="1" xfId="0" applyNumberFormat="1" applyFont="1" applyBorder="1" applyAlignment="1">
      <alignment horizontal="center" vertical="top"/>
    </xf>
    <xf numFmtId="170" fontId="8" fillId="0" borderId="1" xfId="0" applyFont="1" applyBorder="1" applyAlignment="1">
      <alignment horizontal="justify" vertical="top" wrapText="1"/>
    </xf>
    <xf numFmtId="14" fontId="8" fillId="0" borderId="1" xfId="0" quotePrefix="1" applyNumberFormat="1" applyFont="1" applyBorder="1" applyAlignment="1">
      <alignment horizontal="center" vertical="top" wrapText="1"/>
    </xf>
    <xf numFmtId="170" fontId="8" fillId="0" borderId="1" xfId="0" applyFont="1" applyBorder="1" applyAlignment="1">
      <alignment horizontal="center" vertical="top" wrapText="1"/>
    </xf>
    <xf numFmtId="1" fontId="8" fillId="0" borderId="1" xfId="0" applyNumberFormat="1" applyFont="1" applyBorder="1" applyAlignment="1">
      <alignment horizontal="center" vertical="center"/>
    </xf>
    <xf numFmtId="3" fontId="8" fillId="0" borderId="0" xfId="1" applyNumberFormat="1" applyFont="1" applyBorder="1" applyAlignment="1">
      <alignment vertical="center"/>
    </xf>
    <xf numFmtId="3" fontId="8" fillId="0" borderId="0" xfId="0" applyNumberFormat="1" applyFont="1" applyAlignment="1">
      <alignment vertical="center"/>
    </xf>
    <xf numFmtId="1" fontId="8" fillId="0" borderId="1" xfId="0" applyNumberFormat="1" applyFont="1" applyBorder="1" applyAlignment="1">
      <alignment horizontal="center" vertical="center" wrapText="1"/>
    </xf>
    <xf numFmtId="38" fontId="8" fillId="0" borderId="4" xfId="0" applyNumberFormat="1" applyFont="1" applyBorder="1" applyAlignment="1">
      <alignment vertical="center"/>
    </xf>
    <xf numFmtId="170" fontId="8" fillId="0" borderId="5" xfId="0" applyFont="1" applyBorder="1" applyAlignment="1">
      <alignment horizontal="center" vertical="center"/>
    </xf>
    <xf numFmtId="170" fontId="8" fillId="0" borderId="0" xfId="0" applyFont="1" applyAlignment="1">
      <alignment horizontal="center" vertical="center" wrapText="1"/>
    </xf>
    <xf numFmtId="10" fontId="8" fillId="0" borderId="0" xfId="0" applyNumberFormat="1" applyFont="1" applyAlignment="1">
      <alignment vertical="center"/>
    </xf>
    <xf numFmtId="172" fontId="7" fillId="2" borderId="1" xfId="0" applyNumberFormat="1" applyFont="1" applyFill="1" applyBorder="1" applyAlignment="1">
      <alignment horizontal="center" vertical="center" wrapText="1"/>
    </xf>
    <xf numFmtId="0" fontId="8" fillId="0" borderId="1" xfId="9" applyNumberFormat="1" applyFont="1" applyFill="1" applyBorder="1" applyAlignment="1">
      <alignment horizontal="center" vertical="center"/>
    </xf>
    <xf numFmtId="170" fontId="12" fillId="3" borderId="0" xfId="0" applyFont="1" applyFill="1" applyAlignment="1">
      <alignment vertical="center"/>
    </xf>
    <xf numFmtId="170" fontId="8" fillId="3" borderId="0" xfId="0" applyFont="1" applyFill="1" applyAlignment="1">
      <alignment horizontal="left" vertical="center"/>
    </xf>
    <xf numFmtId="170" fontId="8" fillId="0" borderId="1" xfId="0" applyFont="1" applyBorder="1" applyAlignment="1">
      <alignment vertical="top" wrapText="1"/>
    </xf>
    <xf numFmtId="170" fontId="8" fillId="0" borderId="0" xfId="0" applyFont="1" applyAlignment="1">
      <alignment horizontal="right" vertical="center"/>
    </xf>
    <xf numFmtId="170" fontId="8" fillId="0" borderId="2" xfId="0" applyFont="1" applyBorder="1" applyAlignment="1">
      <alignment vertical="center"/>
    </xf>
    <xf numFmtId="173" fontId="8" fillId="0" borderId="0" xfId="0" applyNumberFormat="1" applyFont="1" applyAlignment="1">
      <alignment horizontal="right" vertical="center"/>
    </xf>
    <xf numFmtId="171" fontId="8" fillId="0" borderId="1" xfId="0" applyNumberFormat="1" applyFont="1" applyBorder="1" applyAlignment="1">
      <alignment horizontal="center" vertical="center" wrapText="1"/>
    </xf>
    <xf numFmtId="168" fontId="8" fillId="0" borderId="2" xfId="0" applyNumberFormat="1" applyFont="1" applyBorder="1" applyAlignment="1">
      <alignment horizontal="center" vertical="center"/>
    </xf>
    <xf numFmtId="170" fontId="8" fillId="0" borderId="2" xfId="0" applyFont="1" applyBorder="1" applyAlignment="1">
      <alignment horizontal="center" vertical="center"/>
    </xf>
    <xf numFmtId="170" fontId="7" fillId="0" borderId="2" xfId="0" applyFont="1" applyBorder="1" applyAlignment="1">
      <alignment horizontal="right" vertical="center"/>
    </xf>
    <xf numFmtId="170" fontId="7" fillId="0" borderId="2" xfId="0" applyFont="1" applyBorder="1" applyAlignment="1">
      <alignment horizontal="center" vertical="center"/>
    </xf>
    <xf numFmtId="38" fontId="7" fillId="0" borderId="2" xfId="0" applyNumberFormat="1" applyFont="1" applyBorder="1" applyAlignment="1">
      <alignment vertical="center"/>
    </xf>
    <xf numFmtId="170" fontId="7" fillId="0" borderId="2" xfId="0" applyFont="1" applyBorder="1" applyAlignment="1">
      <alignment vertical="center"/>
    </xf>
    <xf numFmtId="38" fontId="7" fillId="0" borderId="3" xfId="0" applyNumberFormat="1" applyFont="1" applyBorder="1" applyAlignment="1">
      <alignment vertical="center"/>
    </xf>
    <xf numFmtId="170" fontId="8" fillId="0" borderId="5" xfId="0" applyFont="1" applyBorder="1" applyAlignment="1">
      <alignment horizontal="right" vertical="center"/>
    </xf>
    <xf numFmtId="38" fontId="7" fillId="0" borderId="6" xfId="0" applyNumberFormat="1" applyFont="1" applyBorder="1" applyAlignment="1">
      <alignment vertical="center"/>
    </xf>
    <xf numFmtId="176" fontId="8" fillId="0" borderId="1" xfId="0" applyNumberFormat="1" applyFont="1" applyBorder="1" applyAlignment="1">
      <alignment horizontal="center" vertical="center"/>
    </xf>
    <xf numFmtId="173" fontId="8" fillId="0" borderId="1" xfId="0" applyNumberFormat="1" applyFont="1" applyBorder="1" applyAlignment="1">
      <alignment horizontal="center" vertical="center"/>
    </xf>
    <xf numFmtId="171" fontId="7" fillId="0" borderId="1" xfId="0" applyNumberFormat="1" applyFont="1" applyBorder="1" applyAlignment="1">
      <alignment horizontal="center" vertical="center"/>
    </xf>
    <xf numFmtId="170" fontId="8" fillId="0" borderId="1" xfId="0" applyFont="1" applyBorder="1" applyAlignment="1">
      <alignment horizontal="right" vertical="center" wrapText="1"/>
    </xf>
    <xf numFmtId="170" fontId="8" fillId="0" borderId="1" xfId="0" applyFont="1" applyBorder="1" applyAlignment="1">
      <alignment horizontal="left" vertical="center" wrapText="1"/>
    </xf>
    <xf numFmtId="169" fontId="8" fillId="0" borderId="1" xfId="0" applyNumberFormat="1" applyFont="1" applyBorder="1" applyAlignment="1">
      <alignment horizontal="center" vertical="center" wrapText="1"/>
    </xf>
    <xf numFmtId="0" fontId="8" fillId="0" borderId="1" xfId="5" applyFont="1" applyBorder="1" applyAlignment="1">
      <alignment vertical="center" wrapText="1"/>
    </xf>
    <xf numFmtId="166"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wrapText="1"/>
    </xf>
    <xf numFmtId="175" fontId="8" fillId="0" borderId="1" xfId="0" applyNumberFormat="1" applyFont="1" applyBorder="1" applyAlignment="1">
      <alignment vertical="center"/>
    </xf>
    <xf numFmtId="170" fontId="8" fillId="0" borderId="0" xfId="0" applyFont="1"/>
    <xf numFmtId="173" fontId="7" fillId="0" borderId="1" xfId="0" applyNumberFormat="1" applyFont="1" applyBorder="1" applyAlignment="1">
      <alignment horizontal="center" vertical="center"/>
    </xf>
    <xf numFmtId="173" fontId="7" fillId="0" borderId="1" xfId="0" applyNumberFormat="1" applyFont="1" applyBorder="1" applyAlignment="1">
      <alignment vertical="center"/>
    </xf>
    <xf numFmtId="178" fontId="8" fillId="0" borderId="1" xfId="0" applyNumberFormat="1" applyFont="1" applyBorder="1" applyAlignment="1">
      <alignment vertical="center"/>
    </xf>
    <xf numFmtId="173" fontId="7" fillId="0" borderId="0" xfId="0" applyNumberFormat="1" applyFont="1" applyAlignment="1">
      <alignment horizontal="center" vertical="center"/>
    </xf>
    <xf numFmtId="173" fontId="8" fillId="0" borderId="1" xfId="0" applyNumberFormat="1" applyFont="1" applyBorder="1" applyAlignment="1">
      <alignment horizontal="center" vertical="center" wrapText="1"/>
    </xf>
    <xf numFmtId="173" fontId="8" fillId="0" borderId="1" xfId="0" applyNumberFormat="1" applyFont="1" applyBorder="1" applyAlignment="1">
      <alignment vertical="center"/>
    </xf>
    <xf numFmtId="3" fontId="7" fillId="0" borderId="1" xfId="0" applyNumberFormat="1" applyFont="1" applyBorder="1" applyAlignment="1">
      <alignment horizontal="right"/>
    </xf>
    <xf numFmtId="0" fontId="8" fillId="0" borderId="1" xfId="5" applyFont="1" applyBorder="1" applyAlignment="1">
      <alignment horizontal="center" vertical="top" wrapText="1"/>
    </xf>
    <xf numFmtId="170" fontId="8" fillId="0" borderId="0" xfId="0" applyFont="1" applyAlignment="1">
      <alignment horizontal="left" vertical="top" wrapText="1"/>
    </xf>
    <xf numFmtId="170" fontId="7" fillId="0" borderId="4" xfId="0" applyFont="1" applyBorder="1" applyAlignment="1">
      <alignment vertical="center"/>
    </xf>
    <xf numFmtId="166" fontId="8" fillId="0" borderId="1" xfId="0" applyNumberFormat="1" applyFont="1" applyBorder="1" applyAlignment="1">
      <alignment horizontal="left" vertical="center"/>
    </xf>
    <xf numFmtId="38" fontId="7" fillId="0" borderId="1" xfId="0" applyNumberFormat="1" applyFont="1" applyBorder="1" applyAlignment="1">
      <alignment horizontal="left" vertical="center"/>
    </xf>
    <xf numFmtId="170" fontId="8" fillId="0" borderId="1" xfId="0" applyFont="1" applyBorder="1" applyAlignment="1">
      <alignment horizontal="right" vertical="top" wrapText="1"/>
    </xf>
    <xf numFmtId="1" fontId="8" fillId="0" borderId="1" xfId="0" applyNumberFormat="1" applyFont="1" applyBorder="1" applyAlignment="1">
      <alignment vertical="center"/>
    </xf>
    <xf numFmtId="38" fontId="13" fillId="0" borderId="1" xfId="0" applyNumberFormat="1" applyFont="1" applyBorder="1" applyAlignment="1">
      <alignment horizontal="left" vertical="center"/>
    </xf>
    <xf numFmtId="173" fontId="8" fillId="0" borderId="1" xfId="0" applyNumberFormat="1" applyFont="1" applyBorder="1" applyAlignment="1">
      <alignment horizontal="right" vertical="center"/>
    </xf>
    <xf numFmtId="170" fontId="14" fillId="0" borderId="0" xfId="0" applyFont="1"/>
    <xf numFmtId="170" fontId="15" fillId="0" borderId="0" xfId="0" applyFont="1"/>
    <xf numFmtId="170" fontId="13" fillId="0" borderId="0" xfId="0" applyFont="1"/>
    <xf numFmtId="170" fontId="17" fillId="0" borderId="0" xfId="0" applyFont="1"/>
    <xf numFmtId="170" fontId="13" fillId="0" borderId="1" xfId="0" applyFont="1" applyBorder="1"/>
    <xf numFmtId="170" fontId="17" fillId="2" borderId="1" xfId="0" applyFont="1" applyFill="1" applyBorder="1" applyAlignment="1">
      <alignment horizontal="center" vertical="center"/>
    </xf>
    <xf numFmtId="170" fontId="13" fillId="0" borderId="1" xfId="10" quotePrefix="1" applyFont="1" applyBorder="1"/>
    <xf numFmtId="175" fontId="7" fillId="0" borderId="0" xfId="0" applyNumberFormat="1" applyFont="1" applyAlignment="1">
      <alignment horizontal="left" vertical="center"/>
    </xf>
    <xf numFmtId="170" fontId="7" fillId="0" borderId="0" xfId="0" applyFont="1" applyAlignment="1">
      <alignment horizontal="left" vertical="center" wrapText="1"/>
    </xf>
    <xf numFmtId="0" fontId="7" fillId="0" borderId="0" xfId="5" applyFont="1" applyAlignment="1">
      <alignment horizontal="center" vertical="center" wrapText="1"/>
    </xf>
    <xf numFmtId="0" fontId="7" fillId="0" borderId="0" xfId="5" applyFont="1" applyAlignment="1">
      <alignment vertical="center"/>
    </xf>
    <xf numFmtId="170" fontId="7" fillId="0" borderId="0" xfId="0" applyFont="1" applyAlignment="1">
      <alignment horizontal="center"/>
    </xf>
    <xf numFmtId="1" fontId="22" fillId="0" borderId="0" xfId="11" applyNumberFormat="1" applyFont="1" applyFill="1"/>
    <xf numFmtId="0" fontId="23" fillId="0" borderId="11" xfId="12" applyFont="1" applyBorder="1"/>
    <xf numFmtId="0" fontId="24" fillId="0" borderId="15" xfId="12" applyFont="1" applyBorder="1" applyAlignment="1">
      <alignment wrapText="1"/>
    </xf>
    <xf numFmtId="0" fontId="24" fillId="0" borderId="12" xfId="12" applyFont="1" applyBorder="1" applyAlignment="1">
      <alignment wrapText="1"/>
    </xf>
    <xf numFmtId="0" fontId="24" fillId="0" borderId="0" xfId="12" applyFont="1" applyAlignment="1">
      <alignment wrapText="1"/>
    </xf>
    <xf numFmtId="2" fontId="26" fillId="0" borderId="0" xfId="11" applyNumberFormat="1" applyFont="1" applyFill="1"/>
    <xf numFmtId="180" fontId="26" fillId="0" borderId="0" xfId="11" applyNumberFormat="1" applyFont="1" applyFill="1"/>
    <xf numFmtId="170" fontId="3" fillId="0" borderId="0" xfId="0" applyFont="1"/>
    <xf numFmtId="170" fontId="27" fillId="0" borderId="11" xfId="0" applyFont="1" applyBorder="1" applyAlignment="1">
      <alignment horizontal="center" vertical="center"/>
    </xf>
    <xf numFmtId="170" fontId="27" fillId="0" borderId="15" xfId="0" applyFont="1" applyBorder="1" applyAlignment="1">
      <alignment horizontal="left" vertical="center"/>
    </xf>
    <xf numFmtId="170" fontId="27" fillId="0" borderId="15" xfId="0" applyFont="1" applyBorder="1" applyAlignment="1">
      <alignment horizontal="center" vertical="center"/>
    </xf>
    <xf numFmtId="170" fontId="25" fillId="0" borderId="12" xfId="0" applyFont="1" applyBorder="1" applyAlignment="1">
      <alignment horizontal="right"/>
    </xf>
    <xf numFmtId="180" fontId="25" fillId="0" borderId="0" xfId="11" applyNumberFormat="1" applyFont="1" applyFill="1" applyBorder="1"/>
    <xf numFmtId="180" fontId="26" fillId="0" borderId="0" xfId="11" applyNumberFormat="1" applyFont="1" applyFill="1" applyBorder="1"/>
    <xf numFmtId="180" fontId="28" fillId="0" borderId="11" xfId="11" applyNumberFormat="1" applyFont="1" applyFill="1" applyBorder="1" applyAlignment="1">
      <alignment horizontal="center" vertical="center"/>
    </xf>
    <xf numFmtId="180" fontId="29" fillId="0" borderId="1" xfId="11" applyNumberFormat="1" applyFont="1" applyFill="1" applyBorder="1" applyAlignment="1">
      <alignment horizontal="center" vertical="center"/>
    </xf>
    <xf numFmtId="167" fontId="22" fillId="0" borderId="15" xfId="11" quotePrefix="1" applyNumberFormat="1" applyFont="1" applyFill="1" applyBorder="1" applyAlignment="1">
      <alignment horizontal="right" vertical="center" wrapText="1"/>
    </xf>
    <xf numFmtId="167" fontId="22" fillId="0" borderId="12" xfId="11" quotePrefix="1" applyNumberFormat="1" applyFont="1" applyFill="1" applyBorder="1" applyAlignment="1">
      <alignment horizontal="right" vertical="center" wrapText="1"/>
    </xf>
    <xf numFmtId="167" fontId="22" fillId="0" borderId="0" xfId="11" applyNumberFormat="1" applyFont="1" applyFill="1" applyBorder="1" applyAlignment="1">
      <alignment horizontal="right" vertical="center" wrapText="1"/>
    </xf>
    <xf numFmtId="181" fontId="26" fillId="0" borderId="0" xfId="11" applyNumberFormat="1" applyFont="1" applyFill="1"/>
    <xf numFmtId="1" fontId="25" fillId="0" borderId="2" xfId="11" applyNumberFormat="1" applyFont="1" applyFill="1" applyBorder="1" applyAlignment="1">
      <alignment horizontal="center" vertical="center"/>
    </xf>
    <xf numFmtId="180" fontId="26" fillId="0" borderId="4" xfId="11" applyNumberFormat="1" applyFont="1" applyFill="1" applyBorder="1" applyAlignment="1">
      <alignment vertical="center"/>
    </xf>
    <xf numFmtId="2" fontId="22" fillId="0" borderId="0" xfId="11" applyNumberFormat="1" applyFont="1" applyFill="1"/>
    <xf numFmtId="167" fontId="27" fillId="0" borderId="0" xfId="0" applyNumberFormat="1" applyFont="1"/>
    <xf numFmtId="170" fontId="27" fillId="0" borderId="4" xfId="0" applyFont="1" applyBorder="1" applyAlignment="1">
      <alignment vertical="center"/>
    </xf>
    <xf numFmtId="180" fontId="22" fillId="0" borderId="11" xfId="11" applyNumberFormat="1" applyFont="1" applyFill="1" applyBorder="1" applyAlignment="1">
      <alignment vertical="center"/>
    </xf>
    <xf numFmtId="180" fontId="22" fillId="0" borderId="4" xfId="11" applyNumberFormat="1" applyFont="1" applyFill="1" applyBorder="1" applyAlignment="1">
      <alignment vertical="center"/>
    </xf>
    <xf numFmtId="0" fontId="25" fillId="0" borderId="2" xfId="11" applyNumberFormat="1" applyFont="1" applyFill="1" applyBorder="1" applyAlignment="1">
      <alignment horizontal="center" vertical="center"/>
    </xf>
    <xf numFmtId="180" fontId="22" fillId="0" borderId="1" xfId="11" applyNumberFormat="1" applyFont="1" applyFill="1" applyBorder="1" applyAlignment="1">
      <alignment vertical="center"/>
    </xf>
    <xf numFmtId="0" fontId="29" fillId="0" borderId="1" xfId="11" applyNumberFormat="1" applyFont="1" applyFill="1" applyBorder="1" applyAlignment="1">
      <alignment horizontal="center" vertical="center"/>
    </xf>
    <xf numFmtId="184" fontId="26" fillId="0" borderId="0" xfId="11" applyNumberFormat="1" applyFont="1" applyFill="1"/>
    <xf numFmtId="1" fontId="3" fillId="0" borderId="0" xfId="0" applyNumberFormat="1" applyFont="1"/>
    <xf numFmtId="180" fontId="22" fillId="0" borderId="7" xfId="11" applyNumberFormat="1" applyFont="1" applyFill="1" applyBorder="1" applyAlignment="1">
      <alignment vertical="center"/>
    </xf>
    <xf numFmtId="180" fontId="29" fillId="0" borderId="10" xfId="11" applyNumberFormat="1" applyFont="1" applyFill="1" applyBorder="1" applyAlignment="1">
      <alignment horizontal="center" vertical="center"/>
    </xf>
    <xf numFmtId="180" fontId="22" fillId="0" borderId="0" xfId="11" applyNumberFormat="1" applyFont="1" applyFill="1" applyBorder="1" applyAlignment="1">
      <alignment horizontal="center" vertical="center"/>
    </xf>
    <xf numFmtId="170" fontId="27" fillId="0" borderId="17" xfId="0" applyFont="1" applyBorder="1" applyAlignment="1">
      <alignment horizontal="left" vertical="center"/>
    </xf>
    <xf numFmtId="170" fontId="27" fillId="0" borderId="18" xfId="0" applyFont="1" applyBorder="1" applyAlignment="1">
      <alignment horizontal="left" vertical="center"/>
    </xf>
    <xf numFmtId="1" fontId="23" fillId="0" borderId="0" xfId="12" applyNumberFormat="1" applyFont="1"/>
    <xf numFmtId="186" fontId="3" fillId="0" borderId="0" xfId="0" applyNumberFormat="1" applyFont="1"/>
    <xf numFmtId="0" fontId="30" fillId="0" borderId="0" xfId="12" applyFont="1"/>
    <xf numFmtId="187" fontId="30" fillId="0" borderId="0" xfId="12" applyNumberFormat="1" applyFont="1"/>
    <xf numFmtId="0" fontId="31" fillId="0" borderId="0" xfId="12" applyFont="1" applyAlignment="1">
      <alignment horizontal="center"/>
    </xf>
    <xf numFmtId="43" fontId="33" fillId="0" borderId="0" xfId="0" applyNumberFormat="1" applyFont="1"/>
    <xf numFmtId="2" fontId="33" fillId="0" borderId="16" xfId="0" applyNumberFormat="1" applyFont="1" applyBorder="1"/>
    <xf numFmtId="167" fontId="22" fillId="0" borderId="0" xfId="11" applyNumberFormat="1" applyFont="1" applyFill="1" applyBorder="1" applyAlignment="1">
      <alignment horizontal="right"/>
    </xf>
    <xf numFmtId="167" fontId="25" fillId="0" borderId="0" xfId="0" applyNumberFormat="1" applyFont="1"/>
    <xf numFmtId="2" fontId="25" fillId="0" borderId="16" xfId="0" applyNumberFormat="1" applyFont="1" applyBorder="1"/>
    <xf numFmtId="2" fontId="3" fillId="0" borderId="16" xfId="0" applyNumberFormat="1" applyFont="1" applyBorder="1" applyAlignment="1">
      <alignment horizontal="left"/>
    </xf>
    <xf numFmtId="0" fontId="34" fillId="0" borderId="0" xfId="12" applyFont="1"/>
    <xf numFmtId="170" fontId="3" fillId="0" borderId="16" xfId="0" applyFont="1" applyBorder="1" applyAlignment="1">
      <alignment horizontal="left"/>
    </xf>
    <xf numFmtId="2" fontId="22" fillId="0" borderId="16" xfId="11" applyNumberFormat="1" applyFont="1" applyFill="1" applyBorder="1" applyAlignment="1">
      <alignment horizontal="right"/>
    </xf>
    <xf numFmtId="170" fontId="3" fillId="0" borderId="4" xfId="0" applyFont="1" applyBorder="1"/>
    <xf numFmtId="2" fontId="3" fillId="0" borderId="16" xfId="0" applyNumberFormat="1" applyFont="1" applyBorder="1"/>
    <xf numFmtId="170" fontId="3" fillId="4" borderId="0" xfId="0" applyFont="1" applyFill="1" applyAlignment="1">
      <alignment horizontal="center"/>
    </xf>
    <xf numFmtId="1" fontId="29" fillId="0" borderId="0" xfId="11" applyNumberFormat="1" applyFont="1" applyFill="1"/>
    <xf numFmtId="170" fontId="3" fillId="0" borderId="7" xfId="0" applyFont="1" applyBorder="1"/>
    <xf numFmtId="0" fontId="37" fillId="0" borderId="23" xfId="12" applyFont="1" applyBorder="1" applyAlignment="1">
      <alignment wrapText="1"/>
    </xf>
    <xf numFmtId="170" fontId="3" fillId="0" borderId="23" xfId="0" applyFont="1" applyBorder="1"/>
    <xf numFmtId="2" fontId="3" fillId="0" borderId="8" xfId="0" applyNumberFormat="1" applyFont="1" applyBorder="1"/>
    <xf numFmtId="0" fontId="37" fillId="0" borderId="11" xfId="12" applyFont="1" applyBorder="1"/>
    <xf numFmtId="0" fontId="38" fillId="0" borderId="15" xfId="12" applyFont="1" applyBorder="1" applyAlignment="1">
      <alignment horizontal="center" wrapText="1"/>
    </xf>
    <xf numFmtId="2" fontId="38" fillId="0" borderId="12" xfId="12" applyNumberFormat="1" applyFont="1" applyBorder="1" applyAlignment="1">
      <alignment horizontal="center" wrapText="1"/>
    </xf>
    <xf numFmtId="167" fontId="29" fillId="0" borderId="0" xfId="11" applyNumberFormat="1" applyFont="1" applyFill="1" applyBorder="1" applyAlignment="1">
      <alignment horizontal="right"/>
    </xf>
    <xf numFmtId="2" fontId="23" fillId="0" borderId="0" xfId="11" applyNumberFormat="1" applyFont="1" applyFill="1" applyBorder="1" applyAlignment="1">
      <alignment horizontal="right"/>
    </xf>
    <xf numFmtId="170" fontId="27" fillId="0" borderId="13" xfId="0" applyFont="1" applyBorder="1" applyAlignment="1">
      <alignment vertical="center"/>
    </xf>
    <xf numFmtId="0" fontId="27" fillId="0" borderId="24" xfId="12" applyFont="1" applyBorder="1" applyAlignment="1">
      <alignment horizontal="left" vertical="center"/>
    </xf>
    <xf numFmtId="0" fontId="37" fillId="0" borderId="24" xfId="12" applyFont="1" applyBorder="1" applyAlignment="1">
      <alignment horizontal="center" vertical="center"/>
    </xf>
    <xf numFmtId="2" fontId="3" fillId="0" borderId="14" xfId="0" applyNumberFormat="1" applyFont="1" applyBorder="1" applyAlignment="1">
      <alignment horizontal="right"/>
    </xf>
    <xf numFmtId="183" fontId="23" fillId="0" borderId="0" xfId="11" applyNumberFormat="1" applyFont="1" applyFill="1" applyBorder="1" applyAlignment="1">
      <alignment horizontal="right"/>
    </xf>
    <xf numFmtId="180" fontId="39" fillId="0" borderId="13" xfId="11" applyNumberFormat="1" applyFont="1" applyFill="1" applyBorder="1" applyAlignment="1">
      <alignment horizontal="center" vertical="center"/>
    </xf>
    <xf numFmtId="180" fontId="29" fillId="0" borderId="9" xfId="11" applyNumberFormat="1" applyFont="1" applyFill="1" applyBorder="1" applyAlignment="1">
      <alignment horizontal="center" vertical="center"/>
    </xf>
    <xf numFmtId="167" fontId="29" fillId="0" borderId="24" xfId="11" applyNumberFormat="1" applyFont="1" applyFill="1" applyBorder="1" applyAlignment="1">
      <alignment horizontal="center" vertical="center"/>
    </xf>
    <xf numFmtId="2" fontId="29" fillId="0" borderId="14" xfId="11" applyNumberFormat="1" applyFont="1" applyFill="1" applyBorder="1" applyAlignment="1">
      <alignment horizontal="center" vertical="center" wrapText="1"/>
    </xf>
    <xf numFmtId="180" fontId="29" fillId="0" borderId="13" xfId="11" applyNumberFormat="1" applyFont="1" applyFill="1" applyBorder="1" applyAlignment="1"/>
    <xf numFmtId="180" fontId="39" fillId="0" borderId="9" xfId="11" applyNumberFormat="1" applyFont="1" applyFill="1" applyBorder="1" applyAlignment="1">
      <alignment horizontal="center" vertical="top"/>
    </xf>
    <xf numFmtId="167" fontId="25" fillId="0" borderId="13" xfId="11" applyNumberFormat="1" applyFont="1" applyFill="1" applyBorder="1" applyAlignment="1">
      <alignment horizontal="right"/>
    </xf>
    <xf numFmtId="2" fontId="25" fillId="0" borderId="14" xfId="11" applyNumberFormat="1" applyFont="1" applyFill="1" applyBorder="1" applyAlignment="1">
      <alignment horizontal="right"/>
    </xf>
    <xf numFmtId="180" fontId="25" fillId="0" borderId="4" xfId="11" applyNumberFormat="1" applyFont="1" applyFill="1" applyBorder="1" applyAlignment="1"/>
    <xf numFmtId="180" fontId="25" fillId="0" borderId="2" xfId="11" applyNumberFormat="1" applyFont="1" applyFill="1" applyBorder="1" applyAlignment="1">
      <alignment horizontal="center" vertical="top"/>
    </xf>
    <xf numFmtId="187" fontId="25" fillId="0" borderId="4" xfId="11" applyNumberFormat="1" applyFont="1" applyFill="1" applyBorder="1" applyAlignment="1">
      <alignment horizontal="right"/>
    </xf>
    <xf numFmtId="2" fontId="25" fillId="0" borderId="16" xfId="11" applyNumberFormat="1" applyFont="1" applyFill="1" applyBorder="1" applyAlignment="1">
      <alignment horizontal="right"/>
    </xf>
    <xf numFmtId="185" fontId="25" fillId="0" borderId="2" xfId="11" quotePrefix="1" applyNumberFormat="1" applyFont="1" applyFill="1" applyBorder="1" applyAlignment="1">
      <alignment horizontal="right" vertical="top"/>
    </xf>
    <xf numFmtId="183" fontId="30" fillId="0" borderId="0" xfId="11" applyNumberFormat="1" applyFont="1" applyFill="1" applyBorder="1" applyAlignment="1">
      <alignment horizontal="left"/>
    </xf>
    <xf numFmtId="180" fontId="29" fillId="0" borderId="4" xfId="11" applyNumberFormat="1" applyFont="1" applyFill="1" applyBorder="1" applyAlignment="1"/>
    <xf numFmtId="180" fontId="25" fillId="0" borderId="2" xfId="11" applyNumberFormat="1" applyFont="1" applyFill="1" applyBorder="1" applyAlignment="1">
      <alignment horizontal="right" vertical="top"/>
    </xf>
    <xf numFmtId="1" fontId="30" fillId="0" borderId="0" xfId="11" applyNumberFormat="1" applyFont="1" applyFill="1" applyBorder="1" applyAlignment="1">
      <alignment horizontal="right"/>
    </xf>
    <xf numFmtId="186" fontId="23" fillId="0" borderId="0" xfId="11" applyNumberFormat="1" applyFont="1" applyFill="1" applyBorder="1" applyAlignment="1">
      <alignment horizontal="right"/>
    </xf>
    <xf numFmtId="180" fontId="29" fillId="0" borderId="4" xfId="11" applyNumberFormat="1" applyFont="1" applyFill="1" applyBorder="1"/>
    <xf numFmtId="185" fontId="40" fillId="0" borderId="2" xfId="11" applyNumberFormat="1" applyFont="1" applyFill="1" applyBorder="1" applyAlignment="1">
      <alignment vertical="center" wrapText="1"/>
    </xf>
    <xf numFmtId="170" fontId="3" fillId="0" borderId="13" xfId="0" applyFont="1" applyBorder="1"/>
    <xf numFmtId="180" fontId="25" fillId="0" borderId="4" xfId="11" applyNumberFormat="1" applyFont="1" applyFill="1" applyBorder="1" applyAlignment="1">
      <alignment horizontal="right" vertical="top"/>
    </xf>
    <xf numFmtId="1" fontId="23" fillId="0" borderId="0" xfId="11" applyNumberFormat="1" applyFont="1" applyFill="1" applyBorder="1" applyAlignment="1">
      <alignment horizontal="right"/>
    </xf>
    <xf numFmtId="2" fontId="41" fillId="0" borderId="0" xfId="11" applyNumberFormat="1" applyFont="1" applyFill="1" applyBorder="1" applyAlignment="1">
      <alignment horizontal="right"/>
    </xf>
    <xf numFmtId="180" fontId="25" fillId="0" borderId="4" xfId="11" applyNumberFormat="1" applyFont="1" applyFill="1" applyBorder="1"/>
    <xf numFmtId="190" fontId="41" fillId="0" borderId="0" xfId="11" applyNumberFormat="1" applyFont="1" applyFill="1" applyBorder="1" applyAlignment="1">
      <alignment horizontal="right"/>
    </xf>
    <xf numFmtId="0" fontId="25" fillId="0" borderId="4" xfId="11" applyNumberFormat="1" applyFont="1" applyFill="1" applyBorder="1" applyAlignment="1">
      <alignment horizontal="left" wrapText="1" indent="2"/>
    </xf>
    <xf numFmtId="185" fontId="25" fillId="0" borderId="2" xfId="11" applyNumberFormat="1" applyFont="1" applyFill="1" applyBorder="1" applyAlignment="1">
      <alignment horizontal="right" vertical="top"/>
    </xf>
    <xf numFmtId="191" fontId="23" fillId="0" borderId="0" xfId="11" applyNumberFormat="1" applyFont="1" applyFill="1" applyBorder="1" applyAlignment="1">
      <alignment horizontal="right"/>
    </xf>
    <xf numFmtId="186" fontId="41" fillId="0" borderId="0" xfId="11" applyNumberFormat="1" applyFont="1" applyFill="1" applyBorder="1" applyAlignment="1">
      <alignment horizontal="right"/>
    </xf>
    <xf numFmtId="180" fontId="29" fillId="0" borderId="4" xfId="11" applyNumberFormat="1" applyFont="1" applyFill="1" applyBorder="1" applyAlignment="1">
      <alignment vertical="center" wrapText="1"/>
    </xf>
    <xf numFmtId="180" fontId="25" fillId="0" borderId="10" xfId="11" applyNumberFormat="1" applyFont="1" applyFill="1" applyBorder="1" applyAlignment="1">
      <alignment vertical="center" wrapText="1"/>
    </xf>
    <xf numFmtId="180" fontId="25" fillId="0" borderId="8" xfId="11" applyNumberFormat="1" applyFont="1" applyFill="1" applyBorder="1" applyAlignment="1">
      <alignment horizontal="center"/>
    </xf>
    <xf numFmtId="188" fontId="23" fillId="0" borderId="0" xfId="11" applyNumberFormat="1" applyFont="1" applyFill="1" applyBorder="1" applyAlignment="1">
      <alignment horizontal="right"/>
    </xf>
    <xf numFmtId="170" fontId="27" fillId="0" borderId="4" xfId="0" applyFont="1" applyBorder="1"/>
    <xf numFmtId="180" fontId="25" fillId="0" borderId="2" xfId="11" applyNumberFormat="1" applyFont="1" applyFill="1" applyBorder="1" applyAlignment="1">
      <alignment horizontal="center" vertical="center" wrapText="1"/>
    </xf>
    <xf numFmtId="170" fontId="3" fillId="0" borderId="2" xfId="0" applyFont="1" applyBorder="1"/>
    <xf numFmtId="180" fontId="25" fillId="0" borderId="7" xfId="11" applyNumberFormat="1" applyFont="1" applyFill="1" applyBorder="1" applyAlignment="1"/>
    <xf numFmtId="180" fontId="25" fillId="0" borderId="10" xfId="11" applyNumberFormat="1" applyFont="1" applyFill="1" applyBorder="1" applyAlignment="1">
      <alignment horizontal="center"/>
    </xf>
    <xf numFmtId="180" fontId="3" fillId="0" borderId="0" xfId="0" applyNumberFormat="1" applyFont="1"/>
    <xf numFmtId="0" fontId="35" fillId="0" borderId="24" xfId="12" applyFont="1" applyBorder="1" applyAlignment="1">
      <alignment horizontal="center"/>
    </xf>
    <xf numFmtId="193" fontId="23" fillId="0" borderId="0" xfId="11" applyNumberFormat="1" applyFont="1" applyFill="1" applyBorder="1" applyAlignment="1">
      <alignment horizontal="right"/>
    </xf>
    <xf numFmtId="0" fontId="23" fillId="0" borderId="15" xfId="12" applyFont="1" applyBorder="1" applyAlignment="1">
      <alignment horizontal="left"/>
    </xf>
    <xf numFmtId="0" fontId="23" fillId="0" borderId="15" xfId="12" applyFont="1" applyBorder="1" applyAlignment="1">
      <alignment horizontal="center"/>
    </xf>
    <xf numFmtId="194" fontId="26" fillId="0" borderId="0" xfId="11" applyNumberFormat="1" applyFont="1" applyFill="1" applyBorder="1"/>
    <xf numFmtId="180" fontId="28" fillId="0" borderId="15" xfId="11" applyNumberFormat="1" applyFont="1" applyFill="1" applyBorder="1" applyAlignment="1">
      <alignment horizontal="center" vertical="center"/>
    </xf>
    <xf numFmtId="180" fontId="29" fillId="0" borderId="15" xfId="11" applyNumberFormat="1" applyFont="1" applyFill="1" applyBorder="1" applyAlignment="1">
      <alignment horizontal="center" vertical="center"/>
    </xf>
    <xf numFmtId="167" fontId="29" fillId="0" borderId="0" xfId="0" applyNumberFormat="1" applyFont="1"/>
    <xf numFmtId="1" fontId="22" fillId="0" borderId="4" xfId="11" applyNumberFormat="1" applyFont="1" applyFill="1" applyBorder="1"/>
    <xf numFmtId="185" fontId="26" fillId="0" borderId="0" xfId="11" applyNumberFormat="1" applyFont="1" applyFill="1"/>
    <xf numFmtId="198" fontId="25" fillId="0" borderId="0" xfId="0" applyNumberFormat="1" applyFont="1"/>
    <xf numFmtId="2" fontId="26" fillId="0" borderId="0" xfId="11" applyNumberFormat="1" applyFont="1" applyFill="1" applyBorder="1"/>
    <xf numFmtId="2" fontId="47" fillId="0" borderId="0" xfId="0" applyNumberFormat="1" applyFont="1"/>
    <xf numFmtId="2" fontId="3" fillId="0" borderId="0" xfId="0" applyNumberFormat="1" applyFont="1" applyAlignment="1">
      <alignment horizontal="left"/>
    </xf>
    <xf numFmtId="2" fontId="3" fillId="0" borderId="0" xfId="0" applyNumberFormat="1" applyFont="1" applyAlignment="1">
      <alignment horizontal="left" wrapText="1"/>
    </xf>
    <xf numFmtId="187" fontId="25" fillId="0" borderId="0" xfId="0" applyNumberFormat="1" applyFont="1"/>
    <xf numFmtId="197" fontId="26" fillId="0" borderId="0" xfId="11" applyNumberFormat="1" applyFont="1" applyFill="1"/>
    <xf numFmtId="201" fontId="3" fillId="0" borderId="0" xfId="0" applyNumberFormat="1" applyFont="1"/>
    <xf numFmtId="180" fontId="26" fillId="0" borderId="0" xfId="11" applyNumberFormat="1" applyFont="1" applyBorder="1" applyAlignment="1"/>
    <xf numFmtId="1" fontId="29" fillId="0" borderId="4" xfId="11" applyNumberFormat="1" applyFont="1" applyFill="1" applyBorder="1"/>
    <xf numFmtId="186" fontId="26" fillId="0" borderId="0" xfId="11" applyNumberFormat="1" applyFont="1" applyFill="1"/>
    <xf numFmtId="0" fontId="26" fillId="0" borderId="0" xfId="12" applyFont="1"/>
    <xf numFmtId="2" fontId="3" fillId="0" borderId="0" xfId="11" applyNumberFormat="1" applyFont="1" applyFill="1"/>
    <xf numFmtId="167" fontId="3" fillId="0" borderId="0" xfId="0" applyNumberFormat="1" applyFont="1"/>
    <xf numFmtId="1" fontId="29" fillId="0" borderId="13" xfId="11" applyNumberFormat="1" applyFont="1" applyFill="1" applyBorder="1"/>
    <xf numFmtId="2" fontId="26" fillId="0" borderId="0" xfId="11" applyNumberFormat="1" applyFont="1" applyFill="1" applyAlignment="1">
      <alignment horizontal="right"/>
    </xf>
    <xf numFmtId="4" fontId="3" fillId="0" borderId="0" xfId="0" applyNumberFormat="1" applyFont="1"/>
    <xf numFmtId="1" fontId="29" fillId="0" borderId="7" xfId="11" applyNumberFormat="1" applyFont="1" applyFill="1" applyBorder="1"/>
    <xf numFmtId="43" fontId="3" fillId="0" borderId="0" xfId="0" applyNumberFormat="1" applyFont="1"/>
    <xf numFmtId="1" fontId="22" fillId="0" borderId="13" xfId="11" applyNumberFormat="1" applyFont="1" applyFill="1" applyBorder="1"/>
    <xf numFmtId="186" fontId="26" fillId="0" borderId="0" xfId="11" applyNumberFormat="1" applyFont="1" applyFill="1" applyAlignment="1">
      <alignment horizontal="right"/>
    </xf>
    <xf numFmtId="1" fontId="22" fillId="0" borderId="4" xfId="11" applyNumberFormat="1" applyFont="1" applyFill="1" applyBorder="1" applyAlignment="1">
      <alignment horizontal="right"/>
    </xf>
    <xf numFmtId="1" fontId="22" fillId="0" borderId="17" xfId="11" applyNumberFormat="1" applyFont="1" applyFill="1" applyBorder="1"/>
    <xf numFmtId="187" fontId="3" fillId="0" borderId="0" xfId="0" applyNumberFormat="1" applyFont="1"/>
    <xf numFmtId="170" fontId="3" fillId="0" borderId="16" xfId="0" applyFont="1" applyBorder="1"/>
    <xf numFmtId="170" fontId="3" fillId="0" borderId="0" xfId="0" applyFont="1" applyAlignment="1">
      <alignment horizontal="center"/>
    </xf>
    <xf numFmtId="2" fontId="26" fillId="0" borderId="13" xfId="11" applyNumberFormat="1" applyFont="1" applyFill="1" applyBorder="1"/>
    <xf numFmtId="2" fontId="26" fillId="0" borderId="24" xfId="11" applyNumberFormat="1" applyFont="1" applyFill="1" applyBorder="1"/>
    <xf numFmtId="2" fontId="26" fillId="0" borderId="4" xfId="11" applyNumberFormat="1" applyFont="1" applyFill="1" applyBorder="1"/>
    <xf numFmtId="185" fontId="26" fillId="0" borderId="16" xfId="11" applyNumberFormat="1" applyFont="1" applyFill="1" applyBorder="1"/>
    <xf numFmtId="14" fontId="3" fillId="0" borderId="0" xfId="0" applyNumberFormat="1" applyFont="1"/>
    <xf numFmtId="14" fontId="50" fillId="0" borderId="0" xfId="0" applyNumberFormat="1" applyFont="1" applyAlignment="1">
      <alignment horizontal="center"/>
    </xf>
    <xf numFmtId="1" fontId="51" fillId="0" borderId="0" xfId="0" applyNumberFormat="1" applyFont="1"/>
    <xf numFmtId="185" fontId="26" fillId="0" borderId="0" xfId="11" applyNumberFormat="1" applyFont="1" applyFill="1" applyBorder="1"/>
    <xf numFmtId="14" fontId="52" fillId="0" borderId="0" xfId="0" applyNumberFormat="1" applyFont="1" applyAlignment="1">
      <alignment horizontal="center"/>
    </xf>
    <xf numFmtId="1" fontId="53" fillId="0" borderId="0" xfId="0" applyNumberFormat="1" applyFont="1"/>
    <xf numFmtId="2" fontId="26" fillId="0" borderId="23" xfId="11" applyNumberFormat="1" applyFont="1" applyFill="1" applyBorder="1"/>
    <xf numFmtId="185" fontId="26" fillId="0" borderId="23" xfId="11" applyNumberFormat="1" applyFont="1" applyFill="1" applyBorder="1"/>
    <xf numFmtId="185" fontId="26" fillId="0" borderId="8" xfId="11" applyNumberFormat="1" applyFont="1" applyFill="1" applyBorder="1"/>
    <xf numFmtId="14" fontId="3" fillId="0" borderId="15" xfId="0" applyNumberFormat="1" applyFont="1" applyBorder="1" applyAlignment="1">
      <alignment horizontal="center"/>
    </xf>
    <xf numFmtId="183" fontId="3" fillId="0" borderId="8" xfId="0" applyNumberFormat="1" applyFont="1" applyBorder="1"/>
    <xf numFmtId="2" fontId="26" fillId="0" borderId="7" xfId="11" applyNumberFormat="1" applyFont="1" applyFill="1" applyBorder="1"/>
    <xf numFmtId="1" fontId="26" fillId="0" borderId="23" xfId="11" applyNumberFormat="1" applyFont="1" applyFill="1" applyBorder="1"/>
    <xf numFmtId="167" fontId="27" fillId="0" borderId="11" xfId="0" applyNumberFormat="1" applyFont="1" applyBorder="1" applyAlignment="1">
      <alignment horizontal="center" vertical="center"/>
    </xf>
    <xf numFmtId="167" fontId="27" fillId="0" borderId="1" xfId="0" applyNumberFormat="1" applyFont="1" applyBorder="1" applyAlignment="1">
      <alignment horizontal="center" vertical="center" wrapText="1"/>
    </xf>
    <xf numFmtId="170" fontId="27" fillId="0" borderId="12" xfId="0" applyFont="1" applyBorder="1" applyAlignment="1">
      <alignment horizontal="center" vertical="center" wrapText="1"/>
    </xf>
    <xf numFmtId="170" fontId="3" fillId="0" borderId="0" xfId="0" applyFont="1" applyAlignment="1">
      <alignment vertical="center"/>
    </xf>
    <xf numFmtId="43" fontId="3" fillId="0" borderId="15" xfId="0" applyNumberFormat="1" applyFont="1" applyBorder="1" applyAlignment="1">
      <alignment vertical="center"/>
    </xf>
    <xf numFmtId="43" fontId="3" fillId="0" borderId="1" xfId="0" applyNumberFormat="1" applyFont="1" applyBorder="1" applyAlignment="1">
      <alignment vertical="center"/>
    </xf>
    <xf numFmtId="170" fontId="3" fillId="0" borderId="2" xfId="0" applyFont="1" applyBorder="1" applyAlignment="1">
      <alignment vertical="center"/>
    </xf>
    <xf numFmtId="170" fontId="3" fillId="0" borderId="24" xfId="0" applyFont="1" applyBorder="1" applyAlignment="1">
      <alignment vertical="center"/>
    </xf>
    <xf numFmtId="170" fontId="3" fillId="0" borderId="24" xfId="0" applyFont="1" applyBorder="1"/>
    <xf numFmtId="170" fontId="3" fillId="0" borderId="4" xfId="0" applyFont="1" applyBorder="1" applyAlignment="1">
      <alignment vertical="center"/>
    </xf>
    <xf numFmtId="2" fontId="3" fillId="0" borderId="15" xfId="0" applyNumberFormat="1" applyFont="1" applyBorder="1" applyAlignment="1">
      <alignment vertical="center"/>
    </xf>
    <xf numFmtId="2" fontId="3" fillId="0" borderId="1" xfId="0" applyNumberFormat="1" applyFont="1" applyBorder="1" applyAlignment="1">
      <alignment vertical="center"/>
    </xf>
    <xf numFmtId="1" fontId="27" fillId="0" borderId="0" xfId="0" applyNumberFormat="1" applyFont="1" applyAlignment="1">
      <alignment vertical="center"/>
    </xf>
    <xf numFmtId="1" fontId="27" fillId="0" borderId="0" xfId="0" applyNumberFormat="1" applyFont="1"/>
    <xf numFmtId="1" fontId="3" fillId="0" borderId="0" xfId="0" applyNumberFormat="1" applyFont="1" applyAlignment="1">
      <alignment horizontal="right" vertical="center"/>
    </xf>
    <xf numFmtId="2" fontId="3" fillId="0" borderId="0" xfId="0" applyNumberFormat="1" applyFont="1"/>
    <xf numFmtId="2" fontId="3" fillId="0" borderId="0" xfId="0" applyNumberFormat="1" applyFont="1" applyAlignment="1">
      <alignment horizontal="right"/>
    </xf>
    <xf numFmtId="170" fontId="27" fillId="0" borderId="1" xfId="0" applyFont="1" applyBorder="1" applyAlignment="1">
      <alignment horizontal="center" vertical="center"/>
    </xf>
    <xf numFmtId="2" fontId="27" fillId="0" borderId="0" xfId="0" applyNumberFormat="1" applyFont="1" applyAlignment="1">
      <alignment horizontal="center" vertical="center"/>
    </xf>
    <xf numFmtId="170" fontId="3" fillId="0" borderId="2" xfId="0" applyFont="1" applyBorder="1" applyAlignment="1">
      <alignment horizontal="right" vertical="center"/>
    </xf>
    <xf numFmtId="170" fontId="27" fillId="0" borderId="2" xfId="0" applyFont="1" applyBorder="1" applyAlignment="1">
      <alignment horizontal="center" vertical="center"/>
    </xf>
    <xf numFmtId="2" fontId="27" fillId="0" borderId="0" xfId="0" applyNumberFormat="1" applyFont="1" applyAlignment="1">
      <alignment horizontal="center" vertical="center" wrapText="1"/>
    </xf>
    <xf numFmtId="170" fontId="27" fillId="0" borderId="2" xfId="0" applyFont="1" applyBorder="1" applyAlignment="1">
      <alignment horizontal="right" vertical="center"/>
    </xf>
    <xf numFmtId="170" fontId="27" fillId="0" borderId="2" xfId="0" applyFont="1" applyBorder="1" applyAlignment="1">
      <alignment vertical="center"/>
    </xf>
    <xf numFmtId="2" fontId="3" fillId="5" borderId="0" xfId="0" applyNumberFormat="1" applyFont="1" applyFill="1"/>
    <xf numFmtId="170" fontId="0" fillId="0" borderId="2" xfId="0" applyBorder="1" applyAlignment="1">
      <alignment vertical="center"/>
    </xf>
    <xf numFmtId="170" fontId="3" fillId="0" borderId="2" xfId="0" applyFont="1" applyBorder="1" applyAlignment="1">
      <alignment vertical="center" wrapText="1"/>
    </xf>
    <xf numFmtId="170" fontId="37" fillId="0" borderId="2" xfId="0" applyFont="1" applyBorder="1" applyAlignment="1">
      <alignment vertical="center"/>
    </xf>
    <xf numFmtId="2" fontId="27" fillId="0" borderId="0" xfId="0" applyNumberFormat="1" applyFont="1"/>
    <xf numFmtId="0" fontId="54" fillId="0" borderId="2" xfId="4" applyFont="1" applyBorder="1" applyAlignment="1">
      <alignment horizontal="left" vertical="center"/>
    </xf>
    <xf numFmtId="170" fontId="27" fillId="9" borderId="2" xfId="0" applyFont="1" applyFill="1" applyBorder="1" applyAlignment="1">
      <alignment vertical="center"/>
    </xf>
    <xf numFmtId="170" fontId="49" fillId="3" borderId="2" xfId="0" applyFont="1" applyFill="1" applyBorder="1" applyAlignment="1">
      <alignment horizontal="right" vertical="center"/>
    </xf>
    <xf numFmtId="0" fontId="54" fillId="0" borderId="2" xfId="4" applyFont="1" applyBorder="1" applyAlignment="1">
      <alignment horizontal="left" vertical="center" wrapText="1"/>
    </xf>
    <xf numFmtId="170" fontId="49" fillId="0" borderId="2" xfId="0" applyFont="1" applyBorder="1" applyAlignment="1">
      <alignment vertical="center"/>
    </xf>
    <xf numFmtId="170" fontId="3" fillId="0" borderId="10" xfId="0" applyFont="1" applyBorder="1" applyAlignment="1">
      <alignment horizontal="right" vertical="center"/>
    </xf>
    <xf numFmtId="170" fontId="27" fillId="9" borderId="10" xfId="0" applyFont="1" applyFill="1" applyBorder="1" applyAlignment="1">
      <alignment vertical="center"/>
    </xf>
    <xf numFmtId="170" fontId="3" fillId="0" borderId="9" xfId="0" applyFont="1" applyBorder="1" applyAlignment="1">
      <alignment horizontal="right" vertical="center"/>
    </xf>
    <xf numFmtId="170" fontId="3" fillId="0" borderId="9" xfId="0" applyFont="1" applyBorder="1" applyAlignment="1">
      <alignment vertical="center"/>
    </xf>
    <xf numFmtId="1" fontId="3" fillId="0" borderId="2" xfId="0" applyNumberFormat="1" applyFont="1" applyBorder="1" applyAlignment="1">
      <alignment vertical="center"/>
    </xf>
    <xf numFmtId="0" fontId="55" fillId="0" borderId="2" xfId="11" applyNumberFormat="1" applyFont="1" applyFill="1" applyBorder="1" applyAlignment="1">
      <alignment horizontal="left" vertical="center" wrapText="1"/>
    </xf>
    <xf numFmtId="0" fontId="55" fillId="0" borderId="2" xfId="11" applyNumberFormat="1" applyFont="1" applyFill="1" applyBorder="1" applyAlignment="1">
      <alignment vertical="center" wrapText="1"/>
    </xf>
    <xf numFmtId="170" fontId="3" fillId="0" borderId="2" xfId="0" applyFont="1" applyBorder="1" applyAlignment="1">
      <alignment horizontal="left" vertical="center" wrapText="1"/>
    </xf>
    <xf numFmtId="202" fontId="3" fillId="0" borderId="0" xfId="0" applyNumberFormat="1" applyFont="1"/>
    <xf numFmtId="0" fontId="54" fillId="0" borderId="2" xfId="4" applyFont="1" applyBorder="1" applyAlignment="1">
      <alignment horizontal="right" vertical="center"/>
    </xf>
    <xf numFmtId="170" fontId="37" fillId="9" borderId="2" xfId="0" applyFont="1" applyFill="1" applyBorder="1" applyAlignment="1">
      <alignment vertical="center"/>
    </xf>
    <xf numFmtId="180" fontId="55" fillId="0" borderId="2" xfId="11" applyNumberFormat="1" applyFont="1" applyFill="1" applyBorder="1" applyAlignment="1">
      <alignment vertical="center"/>
    </xf>
    <xf numFmtId="170" fontId="3" fillId="9" borderId="2" xfId="0" applyFont="1" applyFill="1" applyBorder="1" applyAlignment="1">
      <alignment vertical="center"/>
    </xf>
    <xf numFmtId="180" fontId="55" fillId="11" borderId="2" xfId="11" applyNumberFormat="1" applyFont="1" applyFill="1" applyBorder="1" applyAlignment="1">
      <alignment vertical="center" wrapText="1"/>
    </xf>
    <xf numFmtId="170" fontId="37" fillId="9" borderId="10" xfId="0" applyFont="1" applyFill="1" applyBorder="1" applyAlignment="1">
      <alignment vertical="center"/>
    </xf>
    <xf numFmtId="170" fontId="3" fillId="0" borderId="0" xfId="0" applyFont="1" applyAlignment="1">
      <alignment horizontal="right" vertical="center"/>
    </xf>
    <xf numFmtId="180" fontId="55" fillId="0" borderId="0" xfId="11" applyNumberFormat="1" applyFont="1" applyFill="1" applyBorder="1" applyAlignment="1">
      <alignment vertical="center" wrapText="1"/>
    </xf>
    <xf numFmtId="170" fontId="27" fillId="0" borderId="9" xfId="0" applyFont="1" applyBorder="1" applyAlignment="1">
      <alignment horizontal="right" vertical="center"/>
    </xf>
    <xf numFmtId="170" fontId="27" fillId="0" borderId="9" xfId="0" applyFont="1" applyBorder="1" applyAlignment="1">
      <alignment vertical="center"/>
    </xf>
    <xf numFmtId="170" fontId="3" fillId="12" borderId="2" xfId="0" applyFont="1" applyFill="1" applyBorder="1" applyAlignment="1">
      <alignment horizontal="right" vertical="center"/>
    </xf>
    <xf numFmtId="180" fontId="55" fillId="12" borderId="2" xfId="11" applyNumberFormat="1" applyFont="1" applyFill="1" applyBorder="1" applyAlignment="1">
      <alignment horizontal="left" vertical="center"/>
    </xf>
    <xf numFmtId="180" fontId="55" fillId="0" borderId="2" xfId="11" applyNumberFormat="1" applyFont="1" applyFill="1" applyBorder="1" applyAlignment="1">
      <alignment horizontal="left" vertical="center"/>
    </xf>
    <xf numFmtId="180" fontId="56" fillId="0" borderId="2" xfId="11" applyNumberFormat="1" applyFont="1" applyFill="1" applyBorder="1" applyAlignment="1">
      <alignment horizontal="left" vertical="center"/>
    </xf>
    <xf numFmtId="180" fontId="55" fillId="0" borderId="2" xfId="11" applyNumberFormat="1" applyFont="1" applyFill="1" applyBorder="1" applyAlignment="1">
      <alignment horizontal="left" vertical="center" wrapText="1"/>
    </xf>
    <xf numFmtId="2" fontId="3" fillId="5" borderId="2" xfId="0" applyNumberFormat="1" applyFont="1" applyFill="1" applyBorder="1" applyAlignment="1">
      <alignment vertical="center"/>
    </xf>
    <xf numFmtId="170" fontId="3" fillId="0" borderId="2" xfId="0" applyFont="1" applyBorder="1" applyAlignment="1">
      <alignment horizontal="left" vertical="center"/>
    </xf>
    <xf numFmtId="180" fontId="56" fillId="0" borderId="2" xfId="11" applyNumberFormat="1" applyFont="1" applyFill="1" applyBorder="1" applyAlignment="1">
      <alignment vertical="center"/>
    </xf>
    <xf numFmtId="180" fontId="3" fillId="0" borderId="2" xfId="11" applyNumberFormat="1" applyFont="1" applyFill="1" applyBorder="1" applyAlignment="1">
      <alignment vertical="center"/>
    </xf>
    <xf numFmtId="180" fontId="56" fillId="9" borderId="2" xfId="11" applyNumberFormat="1" applyFont="1" applyFill="1" applyBorder="1" applyAlignment="1">
      <alignment horizontal="left" vertical="center"/>
    </xf>
    <xf numFmtId="0" fontId="56" fillId="0" borderId="2" xfId="11" applyNumberFormat="1" applyFont="1" applyFill="1" applyBorder="1" applyAlignment="1">
      <alignment vertical="center" wrapText="1"/>
    </xf>
    <xf numFmtId="0" fontId="56" fillId="0" borderId="2" xfId="11" applyNumberFormat="1" applyFont="1" applyFill="1" applyBorder="1" applyAlignment="1">
      <alignment horizontal="left" vertical="center"/>
    </xf>
    <xf numFmtId="0" fontId="3" fillId="0" borderId="2" xfId="11" applyNumberFormat="1" applyFont="1" applyFill="1" applyBorder="1" applyAlignment="1">
      <alignment vertical="center" wrapText="1"/>
    </xf>
    <xf numFmtId="1" fontId="3" fillId="0" borderId="2" xfId="0" applyNumberFormat="1" applyFont="1" applyBorder="1" applyAlignment="1">
      <alignment horizontal="right" vertical="center"/>
    </xf>
    <xf numFmtId="1" fontId="3" fillId="7" borderId="2" xfId="0" applyNumberFormat="1" applyFont="1" applyFill="1" applyBorder="1" applyAlignment="1">
      <alignment horizontal="right" vertical="center"/>
    </xf>
    <xf numFmtId="170" fontId="3" fillId="0" borderId="10" xfId="0" applyFont="1" applyBorder="1" applyAlignment="1">
      <alignment vertical="center"/>
    </xf>
    <xf numFmtId="180" fontId="55" fillId="12" borderId="2" xfId="11" applyNumberFormat="1" applyFont="1" applyFill="1" applyBorder="1" applyAlignment="1">
      <alignment vertical="center" wrapText="1"/>
    </xf>
    <xf numFmtId="170" fontId="3" fillId="13" borderId="2" xfId="0" applyFont="1" applyFill="1" applyBorder="1" applyAlignment="1">
      <alignment horizontal="right" vertical="center"/>
    </xf>
    <xf numFmtId="180" fontId="55" fillId="9" borderId="2" xfId="11" applyNumberFormat="1" applyFont="1" applyFill="1" applyBorder="1" applyAlignment="1">
      <alignment vertical="center" wrapText="1"/>
    </xf>
    <xf numFmtId="180" fontId="55" fillId="0" borderId="2" xfId="11" quotePrefix="1" applyNumberFormat="1" applyFont="1" applyFill="1" applyBorder="1" applyAlignment="1">
      <alignment vertical="center"/>
    </xf>
    <xf numFmtId="180" fontId="57" fillId="0" borderId="2" xfId="11" applyNumberFormat="1" applyFont="1" applyFill="1" applyBorder="1" applyAlignment="1">
      <alignment horizontal="left" vertical="center"/>
    </xf>
    <xf numFmtId="180" fontId="56" fillId="9" borderId="10" xfId="11" applyNumberFormat="1" applyFont="1" applyFill="1" applyBorder="1" applyAlignment="1">
      <alignment horizontal="left" vertical="center"/>
    </xf>
    <xf numFmtId="43" fontId="3" fillId="0" borderId="2" xfId="0" applyNumberFormat="1" applyFont="1" applyBorder="1" applyAlignment="1">
      <alignment horizontal="right" vertical="center"/>
    </xf>
    <xf numFmtId="180" fontId="26" fillId="0" borderId="0" xfId="11" applyNumberFormat="1" applyFont="1" applyFill="1" applyBorder="1" applyAlignment="1">
      <alignment horizontal="left" vertical="center" wrapText="1"/>
    </xf>
    <xf numFmtId="180" fontId="49" fillId="0" borderId="2" xfId="11" applyNumberFormat="1" applyFont="1" applyFill="1" applyBorder="1" applyAlignment="1">
      <alignment horizontal="left" vertical="center" wrapText="1"/>
    </xf>
    <xf numFmtId="180" fontId="55" fillId="12" borderId="2" xfId="11" applyNumberFormat="1" applyFont="1" applyFill="1" applyBorder="1" applyAlignment="1">
      <alignment vertical="center"/>
    </xf>
    <xf numFmtId="170" fontId="3" fillId="12" borderId="2" xfId="0" applyFont="1" applyFill="1" applyBorder="1" applyAlignment="1">
      <alignment vertical="center"/>
    </xf>
    <xf numFmtId="170" fontId="0" fillId="0" borderId="2" xfId="0" applyBorder="1" applyAlignment="1">
      <alignment vertical="center" wrapText="1"/>
    </xf>
    <xf numFmtId="2" fontId="3" fillId="0" borderId="2" xfId="0" applyNumberFormat="1" applyFont="1" applyBorder="1" applyAlignment="1">
      <alignment vertical="center"/>
    </xf>
    <xf numFmtId="1" fontId="27" fillId="0" borderId="2" xfId="0" applyNumberFormat="1" applyFont="1" applyBorder="1" applyAlignment="1">
      <alignment horizontal="right" vertical="center"/>
    </xf>
    <xf numFmtId="165" fontId="3" fillId="0" borderId="2" xfId="0" applyNumberFormat="1" applyFont="1" applyBorder="1" applyAlignment="1">
      <alignment horizontal="right" vertical="center"/>
    </xf>
    <xf numFmtId="0" fontId="55" fillId="0" borderId="2" xfId="14" applyFont="1" applyBorder="1" applyAlignment="1">
      <alignment vertical="center"/>
    </xf>
    <xf numFmtId="0" fontId="55" fillId="0" borderId="2" xfId="14" applyFont="1" applyBorder="1" applyAlignment="1">
      <alignment vertical="center" wrapText="1"/>
    </xf>
    <xf numFmtId="1" fontId="3" fillId="0" borderId="2" xfId="0" applyNumberFormat="1" applyFont="1" applyBorder="1" applyAlignment="1">
      <alignment horizontal="left" vertical="center"/>
    </xf>
    <xf numFmtId="1" fontId="3" fillId="0" borderId="10" xfId="0" applyNumberFormat="1" applyFont="1" applyBorder="1" applyAlignment="1">
      <alignment horizontal="right" vertical="center"/>
    </xf>
    <xf numFmtId="0" fontId="55" fillId="0" borderId="10" xfId="11" applyNumberFormat="1" applyFont="1" applyFill="1" applyBorder="1" applyAlignment="1">
      <alignment horizontal="left" vertical="center" wrapText="1"/>
    </xf>
    <xf numFmtId="0" fontId="55" fillId="0" borderId="0" xfId="11" applyNumberFormat="1" applyFont="1" applyFill="1" applyBorder="1" applyAlignment="1">
      <alignment horizontal="left" vertical="center" wrapText="1"/>
    </xf>
    <xf numFmtId="1" fontId="3" fillId="0" borderId="9" xfId="0" applyNumberFormat="1" applyFont="1" applyBorder="1" applyAlignment="1">
      <alignment horizontal="right" vertical="center"/>
    </xf>
    <xf numFmtId="180" fontId="56" fillId="0" borderId="9" xfId="11" applyNumberFormat="1" applyFont="1" applyFill="1" applyBorder="1" applyAlignment="1">
      <alignment vertical="center"/>
    </xf>
    <xf numFmtId="170" fontId="27" fillId="9" borderId="2" xfId="0" applyFont="1" applyFill="1" applyBorder="1" applyAlignment="1">
      <alignment vertical="center" wrapText="1"/>
    </xf>
    <xf numFmtId="182" fontId="27" fillId="9" borderId="2" xfId="0" applyNumberFormat="1" applyFont="1" applyFill="1" applyBorder="1" applyAlignment="1">
      <alignment vertical="center" wrapText="1"/>
    </xf>
    <xf numFmtId="180" fontId="55" fillId="9" borderId="2" xfId="11" applyNumberFormat="1" applyFont="1" applyFill="1" applyBorder="1" applyAlignment="1">
      <alignment vertical="center"/>
    </xf>
    <xf numFmtId="180" fontId="56" fillId="9" borderId="2" xfId="11" applyNumberFormat="1" applyFont="1" applyFill="1" applyBorder="1" applyAlignment="1">
      <alignment vertical="center"/>
    </xf>
    <xf numFmtId="170" fontId="27" fillId="0" borderId="0" xfId="0" applyFont="1"/>
    <xf numFmtId="1" fontId="3" fillId="0" borderId="2" xfId="0" applyNumberFormat="1" applyFont="1" applyBorder="1" applyAlignment="1">
      <alignment horizontal="right" vertical="center" wrapText="1"/>
    </xf>
    <xf numFmtId="1" fontId="3" fillId="0" borderId="2" xfId="0" applyNumberFormat="1" applyFont="1" applyBorder="1" applyAlignment="1">
      <alignment horizontal="left" vertical="center" wrapText="1"/>
    </xf>
    <xf numFmtId="180" fontId="56" fillId="0" borderId="2" xfId="11" applyNumberFormat="1" applyFont="1" applyFill="1" applyBorder="1" applyAlignment="1">
      <alignment vertical="center" wrapText="1"/>
    </xf>
    <xf numFmtId="180" fontId="56" fillId="9" borderId="10" xfId="11" applyNumberFormat="1" applyFont="1" applyFill="1" applyBorder="1" applyAlignment="1">
      <alignment vertical="center"/>
    </xf>
    <xf numFmtId="1" fontId="27" fillId="0" borderId="9" xfId="0" applyNumberFormat="1" applyFont="1" applyBorder="1" applyAlignment="1">
      <alignment horizontal="right" vertical="center"/>
    </xf>
    <xf numFmtId="180" fontId="56" fillId="0" borderId="9" xfId="11" applyNumberFormat="1" applyFont="1" applyFill="1" applyBorder="1" applyAlignment="1">
      <alignment horizontal="left" vertical="center"/>
    </xf>
    <xf numFmtId="0" fontId="54" fillId="0" borderId="2" xfId="4" applyFont="1" applyBorder="1" applyAlignment="1">
      <alignment vertical="center" wrapText="1"/>
    </xf>
    <xf numFmtId="2" fontId="3" fillId="0" borderId="0" xfId="0" applyNumberFormat="1" applyFont="1" applyAlignment="1">
      <alignment vertical="center"/>
    </xf>
    <xf numFmtId="180" fontId="55" fillId="0" borderId="2" xfId="11" applyNumberFormat="1" applyFont="1" applyFill="1" applyBorder="1" applyAlignment="1">
      <alignment vertical="center" wrapText="1"/>
    </xf>
    <xf numFmtId="170" fontId="3" fillId="9" borderId="10" xfId="0" applyFont="1" applyFill="1" applyBorder="1" applyAlignment="1">
      <alignment vertical="center"/>
    </xf>
    <xf numFmtId="4" fontId="0" fillId="0" borderId="0" xfId="0" applyNumberFormat="1"/>
    <xf numFmtId="180" fontId="56" fillId="0" borderId="0" xfId="11" applyNumberFormat="1" applyFont="1" applyFill="1" applyBorder="1" applyAlignment="1">
      <alignment horizontal="left" vertical="center"/>
    </xf>
    <xf numFmtId="0" fontId="2" fillId="0" borderId="0" xfId="16"/>
    <xf numFmtId="180" fontId="55" fillId="9" borderId="2" xfId="11" applyNumberFormat="1" applyFont="1" applyFill="1" applyBorder="1" applyAlignment="1">
      <alignment horizontal="left" vertical="center"/>
    </xf>
    <xf numFmtId="0" fontId="3" fillId="0" borderId="16" xfId="17" applyBorder="1" applyAlignment="1">
      <alignment horizontal="left" vertical="center" wrapText="1"/>
    </xf>
    <xf numFmtId="170" fontId="27" fillId="0" borderId="0" xfId="0" applyFont="1" applyAlignment="1">
      <alignment vertical="center"/>
    </xf>
    <xf numFmtId="170" fontId="0" fillId="0" borderId="0" xfId="0" applyAlignment="1">
      <alignment vertical="center"/>
    </xf>
    <xf numFmtId="1" fontId="3" fillId="0" borderId="0" xfId="0" applyNumberFormat="1" applyFont="1" applyAlignment="1">
      <alignment vertical="center"/>
    </xf>
    <xf numFmtId="1" fontId="3" fillId="0" borderId="0" xfId="0" applyNumberFormat="1" applyFont="1" applyAlignment="1">
      <alignment horizontal="left" vertical="center"/>
    </xf>
    <xf numFmtId="170" fontId="27" fillId="0" borderId="24" xfId="0" applyFont="1" applyBorder="1" applyAlignment="1">
      <alignment vertical="center"/>
    </xf>
    <xf numFmtId="180" fontId="55" fillId="0" borderId="0" xfId="11" applyNumberFormat="1" applyFont="1" applyFill="1" applyBorder="1" applyAlignment="1">
      <alignment horizontal="left" vertical="center"/>
    </xf>
    <xf numFmtId="170" fontId="3" fillId="0" borderId="0" xfId="0" applyFont="1" applyAlignment="1">
      <alignment vertical="center" wrapText="1"/>
    </xf>
    <xf numFmtId="2" fontId="3" fillId="6" borderId="0" xfId="0" applyNumberFormat="1" applyFont="1" applyFill="1"/>
    <xf numFmtId="2" fontId="3" fillId="6" borderId="9" xfId="0" applyNumberFormat="1" applyFont="1" applyFill="1" applyBorder="1"/>
    <xf numFmtId="2" fontId="3" fillId="6" borderId="9" xfId="0" applyNumberFormat="1" applyFont="1" applyFill="1" applyBorder="1" applyAlignment="1">
      <alignment horizontal="center"/>
    </xf>
    <xf numFmtId="2" fontId="3" fillId="6" borderId="11" xfId="0" applyNumberFormat="1" applyFont="1" applyFill="1" applyBorder="1"/>
    <xf numFmtId="2" fontId="3" fillId="6" borderId="15" xfId="0" applyNumberFormat="1" applyFont="1" applyFill="1" applyBorder="1"/>
    <xf numFmtId="2" fontId="3" fillId="6" borderId="1" xfId="0" applyNumberFormat="1" applyFont="1" applyFill="1" applyBorder="1"/>
    <xf numFmtId="2" fontId="3" fillId="6" borderId="12" xfId="0" applyNumberFormat="1" applyFont="1" applyFill="1" applyBorder="1"/>
    <xf numFmtId="2" fontId="3" fillId="6" borderId="24" xfId="0" applyNumberFormat="1" applyFont="1" applyFill="1" applyBorder="1"/>
    <xf numFmtId="2" fontId="49" fillId="12" borderId="15" xfId="0" applyNumberFormat="1" applyFont="1" applyFill="1" applyBorder="1"/>
    <xf numFmtId="2" fontId="3" fillId="6" borderId="2" xfId="0" applyNumberFormat="1" applyFont="1" applyFill="1" applyBorder="1"/>
    <xf numFmtId="167" fontId="48" fillId="6" borderId="2" xfId="0" applyNumberFormat="1" applyFont="1" applyFill="1" applyBorder="1" applyAlignment="1">
      <alignment vertical="center"/>
    </xf>
    <xf numFmtId="2" fontId="3" fillId="5" borderId="16" xfId="0" applyNumberFormat="1" applyFont="1" applyFill="1" applyBorder="1"/>
    <xf numFmtId="170" fontId="3" fillId="5" borderId="0" xfId="0" applyFont="1" applyFill="1"/>
    <xf numFmtId="2" fontId="51" fillId="6" borderId="2" xfId="0" applyNumberFormat="1" applyFont="1" applyFill="1" applyBorder="1"/>
    <xf numFmtId="2" fontId="3" fillId="6" borderId="16" xfId="0" applyNumberFormat="1" applyFont="1" applyFill="1" applyBorder="1"/>
    <xf numFmtId="2" fontId="51" fillId="6" borderId="1" xfId="0" applyNumberFormat="1" applyFont="1" applyFill="1" applyBorder="1"/>
    <xf numFmtId="2" fontId="3" fillId="6" borderId="10" xfId="0" applyNumberFormat="1" applyFont="1" applyFill="1" applyBorder="1"/>
    <xf numFmtId="2" fontId="3" fillId="0" borderId="15" xfId="0" applyNumberFormat="1" applyFont="1" applyBorder="1"/>
    <xf numFmtId="2" fontId="3" fillId="6" borderId="23" xfId="0" applyNumberFormat="1" applyFont="1" applyFill="1" applyBorder="1"/>
    <xf numFmtId="2" fontId="3" fillId="12" borderId="15" xfId="0" applyNumberFormat="1" applyFont="1" applyFill="1" applyBorder="1"/>
    <xf numFmtId="170" fontId="3" fillId="12" borderId="0" xfId="0" applyFont="1" applyFill="1"/>
    <xf numFmtId="2" fontId="3" fillId="12" borderId="0" xfId="0" applyNumberFormat="1" applyFont="1" applyFill="1"/>
    <xf numFmtId="2" fontId="3" fillId="12" borderId="9" xfId="0" applyNumberFormat="1" applyFont="1" applyFill="1" applyBorder="1"/>
    <xf numFmtId="2" fontId="3" fillId="2" borderId="14" xfId="0" applyNumberFormat="1" applyFont="1" applyFill="1" applyBorder="1"/>
    <xf numFmtId="2" fontId="3" fillId="6" borderId="8" xfId="0" applyNumberFormat="1" applyFont="1" applyFill="1" applyBorder="1"/>
    <xf numFmtId="1" fontId="3" fillId="2" borderId="0" xfId="0" applyNumberFormat="1" applyFont="1" applyFill="1"/>
    <xf numFmtId="2" fontId="3" fillId="2" borderId="0" xfId="0" applyNumberFormat="1" applyFont="1" applyFill="1"/>
    <xf numFmtId="2" fontId="3" fillId="6" borderId="14" xfId="0" applyNumberFormat="1" applyFont="1" applyFill="1" applyBorder="1"/>
    <xf numFmtId="2" fontId="27" fillId="6" borderId="2" xfId="0" applyNumberFormat="1" applyFont="1" applyFill="1" applyBorder="1"/>
    <xf numFmtId="2" fontId="27" fillId="6" borderId="0" xfId="0" applyNumberFormat="1" applyFont="1" applyFill="1"/>
    <xf numFmtId="2" fontId="27" fillId="6" borderId="16" xfId="0" applyNumberFormat="1" applyFont="1" applyFill="1" applyBorder="1"/>
    <xf numFmtId="2" fontId="27" fillId="6" borderId="1" xfId="0" applyNumberFormat="1" applyFont="1" applyFill="1" applyBorder="1"/>
    <xf numFmtId="2" fontId="27" fillId="6" borderId="15" xfId="0" applyNumberFormat="1" applyFont="1" applyFill="1" applyBorder="1"/>
    <xf numFmtId="2" fontId="27" fillId="6" borderId="12" xfId="0" applyNumberFormat="1" applyFont="1" applyFill="1" applyBorder="1"/>
    <xf numFmtId="170" fontId="3" fillId="10" borderId="0" xfId="0" applyFont="1" applyFill="1"/>
    <xf numFmtId="2" fontId="3" fillId="10" borderId="0" xfId="0" applyNumberFormat="1" applyFont="1" applyFill="1"/>
    <xf numFmtId="3" fontId="3" fillId="0" borderId="0" xfId="0" applyNumberFormat="1" applyFont="1"/>
    <xf numFmtId="170" fontId="18"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1" xfId="0" applyNumberFormat="1" applyFont="1" applyBorder="1" applyAlignment="1">
      <alignment horizontal="center" vertical="center" wrapText="1"/>
    </xf>
    <xf numFmtId="2" fontId="3" fillId="0" borderId="4" xfId="0" applyNumberFormat="1" applyFont="1" applyBorder="1"/>
    <xf numFmtId="170" fontId="0" fillId="0" borderId="1" xfId="0" applyBorder="1" applyAlignment="1">
      <alignment vertical="center"/>
    </xf>
    <xf numFmtId="2" fontId="59" fillId="0" borderId="1" xfId="0" applyNumberFormat="1" applyFont="1" applyBorder="1" applyAlignment="1">
      <alignment vertical="center"/>
    </xf>
    <xf numFmtId="2" fontId="59" fillId="10" borderId="1" xfId="0" applyNumberFormat="1" applyFont="1" applyFill="1" applyBorder="1" applyAlignment="1">
      <alignment vertical="center"/>
    </xf>
    <xf numFmtId="2" fontId="59" fillId="0" borderId="11" xfId="0" applyNumberFormat="1" applyFont="1" applyBorder="1"/>
    <xf numFmtId="2" fontId="3" fillId="0" borderId="4" xfId="0" applyNumberFormat="1" applyFont="1" applyBorder="1" applyAlignment="1">
      <alignment horizontal="center" vertical="center" wrapText="1"/>
    </xf>
    <xf numFmtId="182" fontId="0" fillId="0" borderId="2" xfId="0" applyNumberFormat="1" applyBorder="1" applyAlignment="1">
      <alignment vertical="center" wrapText="1"/>
    </xf>
    <xf numFmtId="170" fontId="0" fillId="0" borderId="11" xfId="0" applyBorder="1" applyAlignment="1">
      <alignment horizontal="left" vertical="center"/>
    </xf>
    <xf numFmtId="170" fontId="0" fillId="0" borderId="12" xfId="0" applyBorder="1" applyAlignment="1">
      <alignment horizontal="left" vertical="center"/>
    </xf>
    <xf numFmtId="170" fontId="27" fillId="0" borderId="1" xfId="0" applyFont="1" applyBorder="1" applyAlignment="1">
      <alignment vertical="center"/>
    </xf>
    <xf numFmtId="170" fontId="27" fillId="0" borderId="1" xfId="0" applyFont="1" applyBorder="1"/>
    <xf numFmtId="170" fontId="0" fillId="0" borderId="1" xfId="0" applyBorder="1" applyAlignment="1">
      <alignment horizontal="center" vertical="center"/>
    </xf>
    <xf numFmtId="2" fontId="3" fillId="10" borderId="1" xfId="0" applyNumberFormat="1" applyFont="1" applyFill="1" applyBorder="1" applyAlignment="1">
      <alignment vertical="center"/>
    </xf>
    <xf numFmtId="2" fontId="3" fillId="0" borderId="1" xfId="0" applyNumberFormat="1" applyFont="1" applyBorder="1"/>
    <xf numFmtId="2" fontId="3" fillId="3" borderId="0" xfId="0" applyNumberFormat="1" applyFont="1" applyFill="1" applyAlignment="1">
      <alignment horizontal="center" vertical="center" wrapText="1"/>
    </xf>
    <xf numFmtId="170" fontId="0" fillId="2" borderId="1" xfId="0" applyFill="1" applyBorder="1"/>
    <xf numFmtId="170" fontId="0" fillId="2" borderId="1" xfId="0" applyFill="1" applyBorder="1" applyAlignment="1">
      <alignment horizontal="right"/>
    </xf>
    <xf numFmtId="170" fontId="3" fillId="0" borderId="11" xfId="0" applyFont="1" applyBorder="1" applyAlignment="1">
      <alignment horizontal="left" vertical="center"/>
    </xf>
    <xf numFmtId="170" fontId="0" fillId="0" borderId="1" xfId="0" applyBorder="1"/>
    <xf numFmtId="183" fontId="59" fillId="0" borderId="1" xfId="0" applyNumberFormat="1" applyFont="1" applyBorder="1" applyAlignment="1">
      <alignment vertical="center"/>
    </xf>
    <xf numFmtId="0" fontId="23" fillId="0" borderId="1" xfId="12" applyFont="1" applyBorder="1" applyAlignment="1">
      <alignment vertical="center"/>
    </xf>
    <xf numFmtId="170" fontId="0" fillId="0" borderId="12" xfId="0" applyBorder="1"/>
    <xf numFmtId="170" fontId="49" fillId="0" borderId="0" xfId="0" applyFont="1"/>
    <xf numFmtId="170" fontId="27" fillId="0" borderId="10" xfId="0" applyFont="1" applyBorder="1"/>
    <xf numFmtId="1" fontId="22" fillId="0" borderId="8" xfId="11" applyNumberFormat="1" applyFont="1" applyFill="1" applyBorder="1"/>
    <xf numFmtId="170" fontId="27" fillId="0" borderId="2" xfId="0" applyFont="1" applyBorder="1"/>
    <xf numFmtId="1" fontId="27" fillId="0" borderId="16" xfId="0" applyNumberFormat="1" applyFont="1" applyBorder="1"/>
    <xf numFmtId="170" fontId="0" fillId="0" borderId="2" xfId="0" applyBorder="1"/>
    <xf numFmtId="1" fontId="22" fillId="0" borderId="16" xfId="11" applyNumberFormat="1" applyFont="1" applyFill="1" applyBorder="1"/>
    <xf numFmtId="0" fontId="63" fillId="0" borderId="2" xfId="4" applyFont="1" applyBorder="1" applyAlignment="1">
      <alignment horizontal="right"/>
    </xf>
    <xf numFmtId="1" fontId="3" fillId="0" borderId="16" xfId="0" applyNumberFormat="1" applyFont="1" applyBorder="1" applyAlignment="1">
      <alignment horizontal="right"/>
    </xf>
    <xf numFmtId="1" fontId="3" fillId="0" borderId="0" xfId="0" applyNumberFormat="1" applyFont="1" applyAlignment="1">
      <alignment horizontal="right"/>
    </xf>
    <xf numFmtId="0" fontId="2" fillId="0" borderId="0" xfId="18"/>
    <xf numFmtId="186" fontId="0" fillId="0" borderId="0" xfId="0" applyNumberFormat="1"/>
    <xf numFmtId="1" fontId="26" fillId="0" borderId="16" xfId="11" applyNumberFormat="1" applyFont="1" applyFill="1" applyBorder="1"/>
    <xf numFmtId="3" fontId="0" fillId="0" borderId="0" xfId="0" applyNumberFormat="1"/>
    <xf numFmtId="180" fontId="0" fillId="0" borderId="0" xfId="0" applyNumberFormat="1"/>
    <xf numFmtId="170" fontId="65" fillId="0" borderId="2" xfId="0" applyFont="1" applyBorder="1"/>
    <xf numFmtId="1" fontId="43" fillId="0" borderId="16" xfId="11" applyNumberFormat="1" applyFont="1" applyFill="1" applyBorder="1"/>
    <xf numFmtId="170" fontId="0" fillId="0" borderId="16" xfId="0" applyBorder="1"/>
    <xf numFmtId="186" fontId="0" fillId="0" borderId="16" xfId="0" applyNumberFormat="1" applyBorder="1"/>
    <xf numFmtId="205" fontId="0" fillId="0" borderId="0" xfId="0" applyNumberFormat="1"/>
    <xf numFmtId="170" fontId="27" fillId="0" borderId="2" xfId="0" applyFont="1" applyBorder="1" applyAlignment="1">
      <alignment horizontal="left"/>
    </xf>
    <xf numFmtId="170" fontId="0" fillId="0" borderId="10" xfId="0" applyBorder="1"/>
    <xf numFmtId="170" fontId="0" fillId="0" borderId="23" xfId="0" applyBorder="1"/>
    <xf numFmtId="170" fontId="27" fillId="0" borderId="10" xfId="0" applyFont="1" applyBorder="1" applyAlignment="1">
      <alignment horizontal="left"/>
    </xf>
    <xf numFmtId="170" fontId="3" fillId="0" borderId="14" xfId="0" applyFont="1" applyBorder="1" applyAlignment="1">
      <alignment vertical="center"/>
    </xf>
    <xf numFmtId="170" fontId="3" fillId="0" borderId="16" xfId="0" applyFont="1" applyBorder="1" applyAlignment="1">
      <alignment vertical="center"/>
    </xf>
    <xf numFmtId="170" fontId="30" fillId="0" borderId="0" xfId="0" applyFont="1" applyAlignment="1">
      <alignment vertical="center"/>
    </xf>
    <xf numFmtId="170" fontId="27" fillId="0" borderId="11" xfId="0" applyFont="1" applyBorder="1" applyAlignment="1">
      <alignment vertical="center"/>
    </xf>
    <xf numFmtId="170" fontId="27" fillId="0" borderId="12" xfId="0" applyFont="1" applyBorder="1" applyAlignment="1">
      <alignment vertical="center"/>
    </xf>
    <xf numFmtId="170" fontId="49" fillId="0" borderId="0" xfId="0" applyFont="1" applyAlignment="1">
      <alignment vertical="center"/>
    </xf>
    <xf numFmtId="170" fontId="3" fillId="0" borderId="11" xfId="0" applyFont="1" applyBorder="1" applyAlignment="1">
      <alignment vertical="center"/>
    </xf>
    <xf numFmtId="170" fontId="3" fillId="0" borderId="1" xfId="0" applyFont="1" applyBorder="1" applyAlignment="1">
      <alignment vertical="center"/>
    </xf>
    <xf numFmtId="170" fontId="3" fillId="0" borderId="16" xfId="0" applyFont="1" applyBorder="1" applyAlignment="1">
      <alignment horizontal="right" vertical="center"/>
    </xf>
    <xf numFmtId="206" fontId="3" fillId="0" borderId="0" xfId="0" applyNumberFormat="1" applyFont="1" applyAlignment="1">
      <alignment vertical="center"/>
    </xf>
    <xf numFmtId="2" fontId="66" fillId="0" borderId="0" xfId="0" applyNumberFormat="1" applyFont="1" applyAlignment="1">
      <alignment vertical="center"/>
    </xf>
    <xf numFmtId="170" fontId="66" fillId="0" borderId="0" xfId="0" applyFont="1" applyAlignment="1">
      <alignment vertical="center"/>
    </xf>
    <xf numFmtId="43" fontId="66" fillId="0" borderId="0" xfId="0" applyNumberFormat="1" applyFont="1" applyAlignment="1">
      <alignment vertical="center"/>
    </xf>
    <xf numFmtId="43" fontId="3" fillId="0" borderId="0" xfId="0" applyNumberFormat="1" applyFont="1" applyAlignment="1">
      <alignment vertical="center"/>
    </xf>
    <xf numFmtId="170" fontId="3" fillId="3" borderId="0" xfId="0" applyFont="1" applyFill="1" applyAlignment="1">
      <alignment vertical="center"/>
    </xf>
    <xf numFmtId="43" fontId="3" fillId="3" borderId="0" xfId="0" applyNumberFormat="1" applyFont="1" applyFill="1" applyAlignment="1">
      <alignment vertical="center"/>
    </xf>
    <xf numFmtId="43" fontId="66" fillId="0" borderId="16" xfId="0" applyNumberFormat="1" applyFont="1" applyBorder="1" applyAlignment="1">
      <alignment vertical="center"/>
    </xf>
    <xf numFmtId="207" fontId="3" fillId="0" borderId="0" xfId="0" applyNumberFormat="1" applyFont="1" applyAlignment="1">
      <alignment vertical="center"/>
    </xf>
    <xf numFmtId="170" fontId="27" fillId="0" borderId="0" xfId="0" applyFont="1" applyAlignment="1">
      <alignment horizontal="left" vertical="center"/>
    </xf>
    <xf numFmtId="182" fontId="3" fillId="0" borderId="0" xfId="0" applyNumberFormat="1" applyFont="1" applyAlignment="1">
      <alignment vertical="center"/>
    </xf>
    <xf numFmtId="4" fontId="3" fillId="0" borderId="0" xfId="0" applyNumberFormat="1" applyFont="1" applyAlignment="1">
      <alignment vertical="center"/>
    </xf>
    <xf numFmtId="170" fontId="27" fillId="4" borderId="4" xfId="0" applyFont="1" applyFill="1" applyBorder="1" applyAlignment="1">
      <alignment vertical="center"/>
    </xf>
    <xf numFmtId="170" fontId="3" fillId="0" borderId="0" xfId="0" applyFont="1" applyAlignment="1">
      <alignment horizontal="center" vertical="center"/>
    </xf>
    <xf numFmtId="170" fontId="3" fillId="4" borderId="4" xfId="0" applyFont="1" applyFill="1" applyBorder="1" applyAlignment="1">
      <alignment vertical="center"/>
    </xf>
    <xf numFmtId="208" fontId="3" fillId="0" borderId="0" xfId="0" applyNumberFormat="1" applyFont="1" applyAlignment="1">
      <alignment vertical="center"/>
    </xf>
    <xf numFmtId="170" fontId="3" fillId="4" borderId="0" xfId="0" applyFont="1" applyFill="1" applyAlignment="1">
      <alignment horizontal="left" vertical="center"/>
    </xf>
    <xf numFmtId="170" fontId="3" fillId="4" borderId="0" xfId="0" applyFont="1" applyFill="1" applyAlignment="1">
      <alignment horizontal="center" vertical="center"/>
    </xf>
    <xf numFmtId="170" fontId="3" fillId="4" borderId="7" xfId="0" applyFont="1" applyFill="1" applyBorder="1" applyAlignment="1">
      <alignment vertical="center"/>
    </xf>
    <xf numFmtId="170" fontId="3" fillId="0" borderId="23" xfId="0" applyFont="1" applyBorder="1" applyAlignment="1">
      <alignment vertical="center"/>
    </xf>
    <xf numFmtId="170" fontId="3" fillId="0" borderId="8" xfId="0" applyFont="1" applyBorder="1" applyAlignment="1">
      <alignment vertical="center"/>
    </xf>
    <xf numFmtId="170" fontId="32" fillId="4" borderId="24" xfId="0" applyFont="1" applyFill="1" applyBorder="1" applyAlignment="1">
      <alignment vertical="center"/>
    </xf>
    <xf numFmtId="170" fontId="40" fillId="4" borderId="0" xfId="0" applyFont="1" applyFill="1" applyAlignment="1">
      <alignment vertical="center"/>
    </xf>
    <xf numFmtId="0" fontId="67" fillId="0" borderId="13" xfId="20" applyFont="1" applyBorder="1"/>
    <xf numFmtId="0" fontId="67" fillId="0" borderId="24" xfId="20" applyFont="1" applyBorder="1"/>
    <xf numFmtId="0" fontId="2" fillId="0" borderId="24" xfId="20" applyBorder="1"/>
    <xf numFmtId="0" fontId="68" fillId="0" borderId="24" xfId="20" applyFont="1" applyBorder="1"/>
    <xf numFmtId="2" fontId="2" fillId="0" borderId="24" xfId="20" applyNumberFormat="1" applyBorder="1"/>
    <xf numFmtId="0" fontId="2" fillId="0" borderId="14" xfId="20" applyBorder="1"/>
    <xf numFmtId="0" fontId="2" fillId="0" borderId="0" xfId="20"/>
    <xf numFmtId="0" fontId="69" fillId="0" borderId="4" xfId="21" applyFont="1" applyBorder="1"/>
    <xf numFmtId="0" fontId="67" fillId="0" borderId="0" xfId="20" applyFont="1"/>
    <xf numFmtId="2" fontId="2" fillId="0" borderId="0" xfId="20" applyNumberFormat="1"/>
    <xf numFmtId="183" fontId="2" fillId="0" borderId="16" xfId="20" applyNumberFormat="1" applyBorder="1"/>
    <xf numFmtId="0" fontId="70" fillId="0" borderId="7" xfId="21" applyFont="1" applyBorder="1" applyAlignment="1">
      <alignment horizontal="left" vertical="center" wrapText="1"/>
    </xf>
    <xf numFmtId="0" fontId="71" fillId="0" borderId="23" xfId="20" applyFont="1" applyBorder="1" applyAlignment="1">
      <alignment vertical="center" wrapText="1"/>
    </xf>
    <xf numFmtId="183" fontId="71" fillId="0" borderId="23" xfId="20" applyNumberFormat="1" applyFont="1" applyBorder="1" applyAlignment="1">
      <alignment vertical="center" wrapText="1"/>
    </xf>
    <xf numFmtId="2" fontId="71" fillId="0" borderId="23" xfId="20" applyNumberFormat="1" applyFont="1" applyBorder="1" applyAlignment="1">
      <alignment vertical="center" wrapText="1"/>
    </xf>
    <xf numFmtId="0" fontId="2" fillId="0" borderId="23" xfId="20" applyBorder="1"/>
    <xf numFmtId="0" fontId="2" fillId="0" borderId="8" xfId="20" applyBorder="1"/>
    <xf numFmtId="0" fontId="72" fillId="0" borderId="11" xfId="20" applyFont="1" applyBorder="1" applyAlignment="1">
      <alignment vertical="center" wrapText="1"/>
    </xf>
    <xf numFmtId="0" fontId="72" fillId="0" borderId="15" xfId="20" applyFont="1" applyBorder="1" applyAlignment="1">
      <alignment vertical="center" wrapText="1"/>
    </xf>
    <xf numFmtId="2" fontId="72" fillId="0" borderId="15" xfId="20" applyNumberFormat="1" applyFont="1" applyBorder="1" applyAlignment="1">
      <alignment vertical="center" wrapText="1"/>
    </xf>
    <xf numFmtId="0" fontId="75" fillId="0" borderId="4" xfId="20" applyFont="1" applyBorder="1" applyAlignment="1">
      <alignment wrapText="1"/>
    </xf>
    <xf numFmtId="43" fontId="2" fillId="0" borderId="0" xfId="20" applyNumberFormat="1"/>
    <xf numFmtId="4" fontId="2" fillId="0" borderId="0" xfId="20" applyNumberFormat="1"/>
    <xf numFmtId="0" fontId="75" fillId="0" borderId="1" xfId="20" applyFont="1" applyBorder="1" applyAlignment="1">
      <alignment wrapText="1"/>
    </xf>
    <xf numFmtId="0" fontId="76" fillId="0" borderId="4" xfId="20" applyFont="1" applyBorder="1" applyAlignment="1">
      <alignment wrapText="1"/>
    </xf>
    <xf numFmtId="1" fontId="2" fillId="0" borderId="0" xfId="20" applyNumberFormat="1"/>
    <xf numFmtId="0" fontId="75" fillId="0" borderId="4" xfId="20" applyFont="1" applyBorder="1" applyAlignment="1">
      <alignment horizontal="left" vertical="center" wrapText="1"/>
    </xf>
    <xf numFmtId="183" fontId="2" fillId="0" borderId="0" xfId="20" applyNumberFormat="1"/>
    <xf numFmtId="0" fontId="19" fillId="0" borderId="0" xfId="20" applyFont="1"/>
    <xf numFmtId="0" fontId="78" fillId="0" borderId="0" xfId="20" applyFont="1"/>
    <xf numFmtId="170" fontId="66" fillId="0" borderId="0" xfId="0" applyFont="1"/>
    <xf numFmtId="2" fontId="19" fillId="0" borderId="0" xfId="20" applyNumberFormat="1" applyFont="1"/>
    <xf numFmtId="0" fontId="80" fillId="0" borderId="0" xfId="20" applyFont="1"/>
    <xf numFmtId="0" fontId="3" fillId="0" borderId="0" xfId="21"/>
    <xf numFmtId="183" fontId="3" fillId="0" borderId="0" xfId="21" applyNumberFormat="1"/>
    <xf numFmtId="170" fontId="37" fillId="0" borderId="11" xfId="0" applyFont="1" applyBorder="1" applyAlignment="1">
      <alignment vertical="center"/>
    </xf>
    <xf numFmtId="170" fontId="0" fillId="0" borderId="15" xfId="0" applyBorder="1"/>
    <xf numFmtId="0" fontId="81" fillId="0" borderId="13" xfId="20" applyFont="1" applyBorder="1" applyAlignment="1">
      <alignment wrapText="1"/>
    </xf>
    <xf numFmtId="170" fontId="43" fillId="0" borderId="24" xfId="0" applyFont="1" applyBorder="1" applyAlignment="1">
      <alignment horizontal="right"/>
    </xf>
    <xf numFmtId="2" fontId="68" fillId="0" borderId="0" xfId="20" applyNumberFormat="1" applyFont="1"/>
    <xf numFmtId="0" fontId="21" fillId="0" borderId="0" xfId="20" applyFont="1"/>
    <xf numFmtId="0" fontId="83" fillId="0" borderId="4" xfId="20" applyFont="1" applyBorder="1" applyAlignment="1">
      <alignment wrapText="1"/>
    </xf>
    <xf numFmtId="170" fontId="29" fillId="0" borderId="11" xfId="0" applyFont="1" applyBorder="1" applyAlignment="1">
      <alignment vertical="center"/>
    </xf>
    <xf numFmtId="2" fontId="2" fillId="0" borderId="0" xfId="20" applyNumberFormat="1" applyAlignment="1">
      <alignment horizontal="right"/>
    </xf>
    <xf numFmtId="0" fontId="84" fillId="0" borderId="4" xfId="20" applyFont="1" applyBorder="1" applyAlignment="1">
      <alignment wrapText="1"/>
    </xf>
    <xf numFmtId="0" fontId="2" fillId="0" borderId="0" xfId="22"/>
    <xf numFmtId="43" fontId="0" fillId="0" borderId="0" xfId="0" applyNumberFormat="1"/>
    <xf numFmtId="170" fontId="29" fillId="0" borderId="4" xfId="0" applyFont="1" applyBorder="1" applyAlignment="1">
      <alignment vertical="center"/>
    </xf>
    <xf numFmtId="43" fontId="29" fillId="0" borderId="24" xfId="0" applyNumberFormat="1" applyFont="1" applyBorder="1"/>
    <xf numFmtId="43" fontId="85" fillId="0" borderId="0" xfId="0" applyNumberFormat="1" applyFont="1"/>
    <xf numFmtId="43" fontId="27" fillId="0" borderId="16" xfId="0" applyNumberFormat="1" applyFont="1" applyBorder="1"/>
    <xf numFmtId="0" fontId="77" fillId="0" borderId="4" xfId="20" applyFont="1" applyBorder="1" applyAlignment="1">
      <alignment wrapText="1"/>
    </xf>
    <xf numFmtId="170" fontId="86" fillId="0" borderId="0" xfId="0" applyFont="1" applyAlignment="1">
      <alignment horizontal="right"/>
    </xf>
    <xf numFmtId="0" fontId="2" fillId="0" borderId="16" xfId="20" applyBorder="1"/>
    <xf numFmtId="4" fontId="18" fillId="0" borderId="0" xfId="20" applyNumberFormat="1" applyFont="1"/>
    <xf numFmtId="43" fontId="29" fillId="0" borderId="7" xfId="0" applyNumberFormat="1" applyFont="1" applyBorder="1"/>
    <xf numFmtId="170" fontId="29" fillId="6" borderId="4" xfId="0" applyFont="1" applyFill="1" applyBorder="1" applyAlignment="1">
      <alignment vertical="center"/>
    </xf>
    <xf numFmtId="170" fontId="25" fillId="0" borderId="0" xfId="0" applyFont="1"/>
    <xf numFmtId="170" fontId="0" fillId="0" borderId="4" xfId="0" applyBorder="1"/>
    <xf numFmtId="170" fontId="42" fillId="0" borderId="0" xfId="0" applyFont="1"/>
    <xf numFmtId="170" fontId="60" fillId="0" borderId="11" xfId="0" applyFont="1" applyBorder="1"/>
    <xf numFmtId="170" fontId="86" fillId="0" borderId="0" xfId="0" applyFont="1" applyAlignment="1">
      <alignment horizontal="center" vertical="center"/>
    </xf>
    <xf numFmtId="170" fontId="80" fillId="0" borderId="13" xfId="0" applyFont="1" applyBorder="1"/>
    <xf numFmtId="206" fontId="33" fillId="0" borderId="16" xfId="23" applyFont="1" applyBorder="1"/>
    <xf numFmtId="206" fontId="33" fillId="0" borderId="0" xfId="23" applyFont="1" applyBorder="1"/>
    <xf numFmtId="170" fontId="80" fillId="0" borderId="4" xfId="0" applyFont="1" applyBorder="1"/>
    <xf numFmtId="170" fontId="80" fillId="0" borderId="7" xfId="0" applyFont="1" applyBorder="1"/>
    <xf numFmtId="170" fontId="60" fillId="0" borderId="11" xfId="0" applyFont="1" applyBorder="1" applyAlignment="1">
      <alignment vertical="center"/>
    </xf>
    <xf numFmtId="206" fontId="86" fillId="0" borderId="16" xfId="23" applyFont="1" applyBorder="1" applyAlignment="1">
      <alignment vertical="center"/>
    </xf>
    <xf numFmtId="206" fontId="0" fillId="0" borderId="4" xfId="0" applyNumberFormat="1" applyBorder="1"/>
    <xf numFmtId="206" fontId="86" fillId="0" borderId="0" xfId="23" applyFont="1" applyBorder="1" applyAlignment="1">
      <alignment vertical="center"/>
    </xf>
    <xf numFmtId="170" fontId="25" fillId="0" borderId="0" xfId="0" applyFont="1" applyAlignment="1">
      <alignment vertical="top" wrapText="1"/>
    </xf>
    <xf numFmtId="170" fontId="0" fillId="0" borderId="13" xfId="0" applyBorder="1" applyAlignment="1">
      <alignment horizontal="center"/>
    </xf>
    <xf numFmtId="170" fontId="0" fillId="0" borderId="24" xfId="0" applyBorder="1" applyAlignment="1">
      <alignment horizontal="center"/>
    </xf>
    <xf numFmtId="170" fontId="0" fillId="0" borderId="9" xfId="0" applyBorder="1" applyAlignment="1">
      <alignment horizontal="center"/>
    </xf>
    <xf numFmtId="170" fontId="0" fillId="0" borderId="1" xfId="0" applyBorder="1" applyAlignment="1">
      <alignment horizontal="center"/>
    </xf>
    <xf numFmtId="170" fontId="0" fillId="0" borderId="0" xfId="0" applyAlignment="1">
      <alignment horizontal="center"/>
    </xf>
    <xf numFmtId="170" fontId="0" fillId="0" borderId="1" xfId="0" applyBorder="1" applyAlignment="1">
      <alignment vertical="center" wrapText="1"/>
    </xf>
    <xf numFmtId="170" fontId="27" fillId="0" borderId="1" xfId="0" applyFont="1" applyBorder="1" applyAlignment="1">
      <alignment horizontal="center" vertical="center" wrapText="1"/>
    </xf>
    <xf numFmtId="170" fontId="0" fillId="0" borderId="12" xfId="0" applyBorder="1" applyAlignment="1">
      <alignment horizontal="center" vertical="center" wrapText="1"/>
    </xf>
    <xf numFmtId="170" fontId="0" fillId="0" borderId="1" xfId="0" applyBorder="1" applyAlignment="1">
      <alignment horizontal="center" vertical="center" wrapText="1"/>
    </xf>
    <xf numFmtId="170" fontId="0" fillId="0" borderId="0" xfId="0" applyAlignment="1">
      <alignment horizontal="center" vertical="center" wrapText="1"/>
    </xf>
    <xf numFmtId="170" fontId="77" fillId="0" borderId="1" xfId="0" applyFont="1" applyBorder="1" applyAlignment="1">
      <alignment vertical="center" wrapText="1"/>
    </xf>
    <xf numFmtId="206" fontId="77" fillId="0" borderId="1" xfId="24" applyFont="1" applyBorder="1" applyAlignment="1">
      <alignment vertical="center"/>
    </xf>
    <xf numFmtId="206" fontId="0" fillId="0" borderId="1" xfId="24" applyFont="1" applyBorder="1" applyAlignment="1">
      <alignment vertical="center"/>
    </xf>
    <xf numFmtId="170" fontId="0" fillId="0" borderId="12" xfId="0" applyBorder="1" applyAlignment="1">
      <alignment vertical="center"/>
    </xf>
    <xf numFmtId="206" fontId="22" fillId="0" borderId="1" xfId="24" applyFont="1" applyFill="1" applyBorder="1" applyAlignment="1">
      <alignment vertical="center"/>
    </xf>
    <xf numFmtId="206" fontId="3" fillId="0" borderId="1" xfId="24" applyFont="1" applyFill="1" applyBorder="1" applyAlignment="1">
      <alignment vertical="center"/>
    </xf>
    <xf numFmtId="206" fontId="27" fillId="0" borderId="1" xfId="0" applyNumberFormat="1" applyFont="1" applyBorder="1" applyAlignment="1">
      <alignment vertical="center"/>
    </xf>
    <xf numFmtId="206" fontId="27" fillId="0" borderId="0" xfId="0" applyNumberFormat="1" applyFont="1" applyAlignment="1">
      <alignment vertical="center"/>
    </xf>
    <xf numFmtId="206" fontId="0" fillId="0" borderId="0" xfId="0" applyNumberFormat="1"/>
    <xf numFmtId="43" fontId="49" fillId="3" borderId="0" xfId="0" applyNumberFormat="1" applyFont="1" applyFill="1"/>
    <xf numFmtId="4" fontId="3" fillId="0" borderId="0" xfId="0" applyNumberFormat="1" applyFont="1" applyAlignment="1">
      <alignment horizontal="right" vertical="center"/>
    </xf>
    <xf numFmtId="180" fontId="25" fillId="0" borderId="0" xfId="25" applyNumberFormat="1" applyFont="1" applyAlignment="1">
      <alignment vertical="center"/>
    </xf>
    <xf numFmtId="0" fontId="25" fillId="0" borderId="0" xfId="25" applyFont="1" applyAlignment="1">
      <alignment vertical="center"/>
    </xf>
    <xf numFmtId="4" fontId="37" fillId="0" borderId="4" xfId="25" quotePrefix="1" applyNumberFormat="1" applyFont="1" applyBorder="1" applyAlignment="1">
      <alignment horizontal="center" vertical="center"/>
    </xf>
    <xf numFmtId="0" fontId="37" fillId="0" borderId="16" xfId="25" applyFont="1" applyBorder="1" applyAlignment="1">
      <alignment horizontal="right" vertical="center"/>
    </xf>
    <xf numFmtId="4" fontId="35" fillId="0" borderId="35" xfId="25" applyNumberFormat="1" applyFont="1" applyBorder="1" applyAlignment="1">
      <alignment vertical="center"/>
    </xf>
    <xf numFmtId="4" fontId="35" fillId="0" borderId="36" xfId="25" applyNumberFormat="1" applyFont="1" applyBorder="1" applyAlignment="1">
      <alignment vertical="center"/>
    </xf>
    <xf numFmtId="4" fontId="37" fillId="0" borderId="36" xfId="25" applyNumberFormat="1" applyFont="1" applyBorder="1" applyAlignment="1">
      <alignment horizontal="center" vertical="center"/>
    </xf>
    <xf numFmtId="4" fontId="35" fillId="0" borderId="4" xfId="25" applyNumberFormat="1" applyFont="1" applyBorder="1" applyAlignment="1">
      <alignment vertical="center"/>
    </xf>
    <xf numFmtId="0" fontId="37" fillId="0" borderId="16" xfId="25" applyFont="1" applyBorder="1" applyAlignment="1">
      <alignment horizontal="center" vertical="center"/>
    </xf>
    <xf numFmtId="4" fontId="88" fillId="0" borderId="4" xfId="25" applyNumberFormat="1" applyFont="1" applyBorder="1" applyAlignment="1">
      <alignment horizontal="left" vertical="center"/>
    </xf>
    <xf numFmtId="180" fontId="35" fillId="0" borderId="16" xfId="26" applyNumberFormat="1" applyFont="1" applyFill="1" applyBorder="1" applyAlignment="1">
      <alignment vertical="center"/>
    </xf>
    <xf numFmtId="43" fontId="25" fillId="0" borderId="0" xfId="25" applyNumberFormat="1" applyFont="1" applyAlignment="1">
      <alignment vertical="center"/>
    </xf>
    <xf numFmtId="4" fontId="25" fillId="0" borderId="4" xfId="25" applyNumberFormat="1" applyFont="1" applyBorder="1" applyAlignment="1">
      <alignment horizontal="left" vertical="center"/>
    </xf>
    <xf numFmtId="184" fontId="3" fillId="0" borderId="0" xfId="0" applyNumberFormat="1" applyFont="1" applyAlignment="1">
      <alignment vertical="center"/>
    </xf>
    <xf numFmtId="4" fontId="37" fillId="0" borderId="4" xfId="25" applyNumberFormat="1" applyFont="1" applyBorder="1" applyAlignment="1">
      <alignment horizontal="left" vertical="center"/>
    </xf>
    <xf numFmtId="4" fontId="37" fillId="0" borderId="4" xfId="25" applyNumberFormat="1" applyFont="1" applyBorder="1" applyAlignment="1">
      <alignment vertical="center"/>
    </xf>
    <xf numFmtId="0" fontId="25" fillId="0" borderId="1" xfId="25" applyFont="1" applyBorder="1" applyAlignment="1">
      <alignment vertical="center"/>
    </xf>
    <xf numFmtId="4" fontId="25" fillId="0" borderId="4" xfId="25" applyNumberFormat="1" applyFont="1" applyBorder="1" applyAlignment="1">
      <alignment horizontal="justify" vertical="center"/>
    </xf>
    <xf numFmtId="4" fontId="37" fillId="0" borderId="13" xfId="25" applyNumberFormat="1" applyFont="1" applyBorder="1" applyAlignment="1">
      <alignment horizontal="left" vertical="center"/>
    </xf>
    <xf numFmtId="4" fontId="37" fillId="0" borderId="24" xfId="25" applyNumberFormat="1" applyFont="1" applyBorder="1" applyAlignment="1">
      <alignment horizontal="left" vertical="center"/>
    </xf>
    <xf numFmtId="4" fontId="37" fillId="0" borderId="11" xfId="25" applyNumberFormat="1" applyFont="1" applyBorder="1" applyAlignment="1">
      <alignment horizontal="left" vertical="center"/>
    </xf>
    <xf numFmtId="4" fontId="37" fillId="0" borderId="15" xfId="25" applyNumberFormat="1" applyFont="1" applyBorder="1" applyAlignment="1">
      <alignment horizontal="left" vertical="center"/>
    </xf>
    <xf numFmtId="4" fontId="37" fillId="0" borderId="4" xfId="25" applyNumberFormat="1" applyFont="1" applyBorder="1" applyAlignment="1">
      <alignment horizontal="center" vertical="center"/>
    </xf>
    <xf numFmtId="4" fontId="37" fillId="0" borderId="16" xfId="25" applyNumberFormat="1" applyFont="1" applyBorder="1" applyAlignment="1">
      <alignment horizontal="right" vertical="center"/>
    </xf>
    <xf numFmtId="4" fontId="37" fillId="0" borderId="37" xfId="25" applyNumberFormat="1" applyFont="1" applyBorder="1" applyAlignment="1">
      <alignment horizontal="center" vertical="center" wrapText="1"/>
    </xf>
    <xf numFmtId="0" fontId="37" fillId="0" borderId="38" xfId="25" applyFont="1" applyBorder="1" applyAlignment="1">
      <alignment vertical="center"/>
    </xf>
    <xf numFmtId="0" fontId="37" fillId="0" borderId="39" xfId="25" applyFont="1" applyBorder="1" applyAlignment="1">
      <alignment vertical="center"/>
    </xf>
    <xf numFmtId="180" fontId="37" fillId="0" borderId="0" xfId="26" applyNumberFormat="1" applyFont="1" applyFill="1" applyBorder="1" applyAlignment="1">
      <alignment vertical="center"/>
    </xf>
    <xf numFmtId="180" fontId="37" fillId="0" borderId="16" xfId="26" applyNumberFormat="1" applyFont="1" applyFill="1" applyBorder="1" applyAlignment="1">
      <alignment vertical="center"/>
    </xf>
    <xf numFmtId="180" fontId="35" fillId="0" borderId="0" xfId="26" applyNumberFormat="1" applyFont="1" applyFill="1" applyBorder="1" applyAlignment="1">
      <alignment vertical="center"/>
    </xf>
    <xf numFmtId="210" fontId="25" fillId="0" borderId="0" xfId="25" applyNumberFormat="1" applyFont="1" applyAlignment="1">
      <alignment vertical="center"/>
    </xf>
    <xf numFmtId="0" fontId="37" fillId="0" borderId="4" xfId="25" applyFont="1" applyBorder="1" applyAlignment="1">
      <alignment vertical="center" wrapText="1"/>
    </xf>
    <xf numFmtId="183" fontId="89" fillId="0" borderId="0" xfId="26" applyNumberFormat="1" applyFont="1" applyFill="1" applyBorder="1" applyAlignment="1">
      <alignment horizontal="right" vertical="center"/>
    </xf>
    <xf numFmtId="183" fontId="89" fillId="0" borderId="16" xfId="26" applyNumberFormat="1" applyFont="1" applyFill="1" applyBorder="1" applyAlignment="1">
      <alignment horizontal="right" vertical="center"/>
    </xf>
    <xf numFmtId="202" fontId="27" fillId="0" borderId="0" xfId="11" applyNumberFormat="1" applyFont="1" applyFill="1" applyBorder="1" applyAlignment="1">
      <alignment horizontal="right" vertical="center"/>
    </xf>
    <xf numFmtId="180" fontId="25" fillId="0" borderId="0" xfId="11" applyNumberFormat="1" applyFont="1" applyAlignment="1">
      <alignment vertical="center"/>
    </xf>
    <xf numFmtId="204" fontId="27" fillId="0" borderId="16" xfId="11" applyNumberFormat="1" applyFont="1" applyFill="1" applyBorder="1" applyAlignment="1">
      <alignment horizontal="right" vertical="center"/>
    </xf>
    <xf numFmtId="0" fontId="3" fillId="0" borderId="16" xfId="25" applyFont="1" applyBorder="1" applyAlignment="1">
      <alignment vertical="center"/>
    </xf>
    <xf numFmtId="170" fontId="3" fillId="0" borderId="7" xfId="0" applyFont="1" applyBorder="1" applyAlignment="1">
      <alignment vertical="center"/>
    </xf>
    <xf numFmtId="0" fontId="3" fillId="0" borderId="23" xfId="12" applyFont="1" applyBorder="1" applyAlignment="1">
      <alignment horizontal="center" vertical="center"/>
    </xf>
    <xf numFmtId="202" fontId="27" fillId="0" borderId="23" xfId="11" applyNumberFormat="1" applyFont="1" applyFill="1" applyBorder="1" applyAlignment="1">
      <alignment horizontal="right" vertical="center"/>
    </xf>
    <xf numFmtId="204" fontId="27" fillId="0" borderId="23" xfId="11" applyNumberFormat="1" applyFont="1" applyFill="1" applyBorder="1" applyAlignment="1">
      <alignment horizontal="right" vertical="center"/>
    </xf>
    <xf numFmtId="204" fontId="27" fillId="0" borderId="8" xfId="11" applyNumberFormat="1" applyFont="1" applyFill="1" applyBorder="1" applyAlignment="1">
      <alignment horizontal="right" vertical="center"/>
    </xf>
    <xf numFmtId="166" fontId="3" fillId="0" borderId="0" xfId="0" applyNumberFormat="1" applyFont="1" applyAlignment="1">
      <alignment vertical="center"/>
    </xf>
    <xf numFmtId="2" fontId="25" fillId="0" borderId="0" xfId="25" applyNumberFormat="1" applyFont="1" applyAlignment="1">
      <alignment vertical="center"/>
    </xf>
    <xf numFmtId="0" fontId="25" fillId="3" borderId="0" xfId="25" applyFont="1" applyFill="1" applyAlignment="1">
      <alignment vertical="center"/>
    </xf>
    <xf numFmtId="4" fontId="25" fillId="3" borderId="0" xfId="25" applyNumberFormat="1" applyFont="1" applyFill="1" applyAlignment="1">
      <alignment vertical="center"/>
    </xf>
    <xf numFmtId="186" fontId="3" fillId="0" borderId="0" xfId="0" applyNumberFormat="1" applyFont="1" applyAlignment="1">
      <alignment vertical="center"/>
    </xf>
    <xf numFmtId="188" fontId="25" fillId="0" borderId="0" xfId="25" applyNumberFormat="1" applyFont="1" applyAlignment="1">
      <alignment vertical="center"/>
    </xf>
    <xf numFmtId="0" fontId="81" fillId="4" borderId="11" xfId="27" applyFont="1" applyFill="1" applyBorder="1"/>
    <xf numFmtId="0" fontId="21" fillId="0" borderId="15" xfId="27" applyBorder="1"/>
    <xf numFmtId="0" fontId="21" fillId="0" borderId="0" xfId="27"/>
    <xf numFmtId="0" fontId="90" fillId="0" borderId="13" xfId="27" applyFont="1" applyBorder="1"/>
    <xf numFmtId="0" fontId="54" fillId="0" borderId="24" xfId="27" applyFont="1" applyBorder="1"/>
    <xf numFmtId="0" fontId="91" fillId="0" borderId="24" xfId="27" applyFont="1" applyBorder="1"/>
    <xf numFmtId="0" fontId="90" fillId="0" borderId="4" xfId="27" applyFont="1" applyBorder="1"/>
    <xf numFmtId="0" fontId="91" fillId="0" borderId="0" xfId="27" applyFont="1"/>
    <xf numFmtId="0" fontId="91" fillId="0" borderId="1" xfId="27" applyFont="1" applyBorder="1" applyAlignment="1">
      <alignment horizontal="center" vertical="center"/>
    </xf>
    <xf numFmtId="0" fontId="91" fillId="0" borderId="1" xfId="27" applyFont="1" applyBorder="1"/>
    <xf numFmtId="0" fontId="91" fillId="0" borderId="4" xfId="27" applyFont="1" applyBorder="1"/>
    <xf numFmtId="0" fontId="91" fillId="0" borderId="1" xfId="27" applyFont="1" applyBorder="1" applyAlignment="1">
      <alignment horizontal="left" vertical="center" wrapText="1"/>
    </xf>
    <xf numFmtId="0" fontId="21" fillId="0" borderId="12" xfId="27" applyBorder="1"/>
    <xf numFmtId="0" fontId="21" fillId="4" borderId="0" xfId="27" applyFill="1"/>
    <xf numFmtId="0" fontId="92" fillId="0" borderId="4" xfId="27" applyFont="1" applyBorder="1"/>
    <xf numFmtId="0" fontId="92" fillId="0" borderId="0" xfId="27" applyFont="1"/>
    <xf numFmtId="0" fontId="90" fillId="0" borderId="0" xfId="27" applyFont="1"/>
    <xf numFmtId="0" fontId="81" fillId="0" borderId="11" xfId="27" applyFont="1" applyBorder="1" applyAlignment="1">
      <alignment vertical="center"/>
    </xf>
    <xf numFmtId="0" fontId="81" fillId="0" borderId="4" xfId="27" applyFont="1" applyBorder="1" applyAlignment="1">
      <alignment vertical="center"/>
    </xf>
    <xf numFmtId="0" fontId="77" fillId="0" borderId="1" xfId="27" applyFont="1" applyBorder="1" applyAlignment="1">
      <alignment horizontal="left" vertical="center"/>
    </xf>
    <xf numFmtId="0" fontId="77" fillId="0" borderId="1" xfId="27" applyFont="1" applyBorder="1"/>
    <xf numFmtId="0" fontId="21" fillId="0" borderId="1" xfId="27" applyBorder="1"/>
    <xf numFmtId="183" fontId="77" fillId="0" borderId="1" xfId="27" applyNumberFormat="1" applyFont="1" applyBorder="1"/>
    <xf numFmtId="43" fontId="77" fillId="0" borderId="1" xfId="27" applyNumberFormat="1" applyFont="1" applyBorder="1"/>
    <xf numFmtId="0" fontId="77" fillId="0" borderId="4" xfId="27" applyFont="1" applyBorder="1"/>
    <xf numFmtId="170" fontId="33" fillId="0" borderId="0" xfId="0" applyFont="1" applyAlignment="1">
      <alignment horizontal="right"/>
    </xf>
    <xf numFmtId="176" fontId="26" fillId="0" borderId="0" xfId="29" applyNumberFormat="1" applyFont="1" applyFill="1" applyBorder="1"/>
    <xf numFmtId="180" fontId="33" fillId="0" borderId="0" xfId="11" applyNumberFormat="1" applyFont="1" applyFill="1" applyBorder="1"/>
    <xf numFmtId="167" fontId="86" fillId="0" borderId="0" xfId="11" applyNumberFormat="1" applyFont="1" applyFill="1" applyBorder="1" applyAlignment="1">
      <alignment horizontal="right" vertical="center" wrapText="1"/>
    </xf>
    <xf numFmtId="180" fontId="25" fillId="0" borderId="2" xfId="11" applyNumberFormat="1" applyFont="1" applyFill="1" applyBorder="1" applyAlignment="1">
      <alignment horizontal="center" vertical="center"/>
    </xf>
    <xf numFmtId="167" fontId="26" fillId="0" borderId="13" xfId="11" applyNumberFormat="1" applyFont="1" applyFill="1" applyBorder="1" applyAlignment="1">
      <alignment horizontal="right" vertical="center"/>
    </xf>
    <xf numFmtId="167" fontId="26" fillId="0" borderId="14" xfId="11" applyNumberFormat="1" applyFont="1" applyFill="1" applyBorder="1" applyAlignment="1">
      <alignment horizontal="right" vertical="center"/>
    </xf>
    <xf numFmtId="167" fontId="33" fillId="0" borderId="0" xfId="11" applyNumberFormat="1" applyFont="1" applyFill="1" applyBorder="1" applyAlignment="1">
      <alignment horizontal="right" vertical="center"/>
    </xf>
    <xf numFmtId="167" fontId="26" fillId="0" borderId="0" xfId="11" applyNumberFormat="1" applyFont="1" applyFill="1" applyBorder="1" applyAlignment="1">
      <alignment horizontal="right"/>
    </xf>
    <xf numFmtId="167" fontId="25" fillId="0" borderId="4" xfId="11" applyNumberFormat="1" applyFont="1" applyFill="1" applyBorder="1" applyAlignment="1">
      <alignment horizontal="right" vertical="center"/>
    </xf>
    <xf numFmtId="167" fontId="26" fillId="0" borderId="16" xfId="11" applyNumberFormat="1" applyFont="1" applyFill="1" applyBorder="1" applyAlignment="1">
      <alignment horizontal="right" vertical="center"/>
    </xf>
    <xf numFmtId="43" fontId="25" fillId="0" borderId="4" xfId="29" applyFont="1" applyFill="1" applyBorder="1" applyAlignment="1">
      <alignment vertical="center"/>
    </xf>
    <xf numFmtId="43" fontId="25" fillId="0" borderId="16" xfId="29" applyFont="1" applyFill="1" applyBorder="1" applyAlignment="1">
      <alignment vertical="center"/>
    </xf>
    <xf numFmtId="43" fontId="33" fillId="0" borderId="0" xfId="29" applyFont="1" applyFill="1" applyBorder="1" applyAlignment="1">
      <alignment vertical="center"/>
    </xf>
    <xf numFmtId="182" fontId="25" fillId="0" borderId="0" xfId="29" applyNumberFormat="1" applyFont="1" applyFill="1" applyBorder="1"/>
    <xf numFmtId="183" fontId="26" fillId="0" borderId="0" xfId="29" applyNumberFormat="1" applyFont="1" applyFill="1" applyBorder="1"/>
    <xf numFmtId="184" fontId="22" fillId="0" borderId="0" xfId="11" applyNumberFormat="1" applyFont="1" applyFill="1"/>
    <xf numFmtId="180" fontId="25" fillId="0" borderId="4" xfId="11" applyNumberFormat="1" applyFont="1" applyFill="1" applyBorder="1" applyAlignment="1">
      <alignment vertical="center"/>
    </xf>
    <xf numFmtId="180" fontId="26" fillId="0" borderId="7" xfId="11" applyNumberFormat="1" applyFont="1" applyFill="1" applyBorder="1" applyAlignment="1">
      <alignment vertical="center"/>
    </xf>
    <xf numFmtId="1" fontId="25" fillId="0" borderId="10" xfId="11" applyNumberFormat="1" applyFont="1" applyFill="1" applyBorder="1" applyAlignment="1">
      <alignment horizontal="center" vertical="center"/>
    </xf>
    <xf numFmtId="43" fontId="25" fillId="0" borderId="7" xfId="29" applyFont="1" applyFill="1" applyBorder="1" applyAlignment="1">
      <alignment vertical="center"/>
    </xf>
    <xf numFmtId="43" fontId="25" fillId="0" borderId="8" xfId="29" applyFont="1" applyFill="1" applyBorder="1" applyAlignment="1">
      <alignment vertical="center"/>
    </xf>
    <xf numFmtId="43" fontId="29" fillId="0" borderId="11" xfId="29" applyFont="1" applyFill="1" applyBorder="1" applyAlignment="1">
      <alignment horizontal="center" vertical="center"/>
    </xf>
    <xf numFmtId="43" fontId="29" fillId="0" borderId="12" xfId="29" applyFont="1" applyFill="1" applyBorder="1" applyAlignment="1">
      <alignment horizontal="center" vertical="center"/>
    </xf>
    <xf numFmtId="43" fontId="86" fillId="0" borderId="0" xfId="29" applyFont="1" applyFill="1" applyBorder="1" applyAlignment="1">
      <alignment horizontal="center" vertical="center"/>
    </xf>
    <xf numFmtId="180" fontId="22" fillId="0" borderId="0" xfId="11" applyNumberFormat="1" applyFont="1" applyFill="1"/>
    <xf numFmtId="43" fontId="25" fillId="0" borderId="4" xfId="29" applyFont="1" applyFill="1" applyBorder="1" applyAlignment="1">
      <alignment horizontal="right" vertical="center"/>
    </xf>
    <xf numFmtId="2" fontId="26" fillId="0" borderId="16" xfId="29" applyNumberFormat="1" applyFont="1" applyFill="1" applyBorder="1" applyAlignment="1">
      <alignment horizontal="right" vertical="center"/>
    </xf>
    <xf numFmtId="43" fontId="33" fillId="0" borderId="0" xfId="29" applyFont="1" applyFill="1" applyBorder="1" applyAlignment="1">
      <alignment horizontal="right" vertical="center"/>
    </xf>
    <xf numFmtId="43" fontId="25" fillId="0" borderId="0" xfId="29" applyFont="1" applyFill="1" applyBorder="1" applyAlignment="1">
      <alignment vertical="center"/>
    </xf>
    <xf numFmtId="182" fontId="25" fillId="0" borderId="4" xfId="29" applyNumberFormat="1" applyFont="1" applyFill="1" applyBorder="1" applyAlignment="1">
      <alignment vertical="center"/>
    </xf>
    <xf numFmtId="2" fontId="25" fillId="0" borderId="16" xfId="29" applyNumberFormat="1" applyFont="1" applyFill="1" applyBorder="1" applyAlignment="1">
      <alignment vertical="center"/>
    </xf>
    <xf numFmtId="0" fontId="25" fillId="0" borderId="10" xfId="11" applyNumberFormat="1" applyFont="1" applyFill="1" applyBorder="1" applyAlignment="1">
      <alignment horizontal="center" vertical="center"/>
    </xf>
    <xf numFmtId="0" fontId="29" fillId="0" borderId="10" xfId="11" applyNumberFormat="1" applyFont="1" applyFill="1" applyBorder="1" applyAlignment="1">
      <alignment horizontal="center" vertical="center"/>
    </xf>
    <xf numFmtId="43" fontId="29" fillId="0" borderId="0" xfId="29" applyFont="1" applyFill="1" applyBorder="1"/>
    <xf numFmtId="180" fontId="22" fillId="0" borderId="17" xfId="11" applyNumberFormat="1" applyFont="1" applyFill="1" applyBorder="1" applyAlignment="1">
      <alignment vertical="center"/>
    </xf>
    <xf numFmtId="0" fontId="29" fillId="0" borderId="18" xfId="11" applyNumberFormat="1" applyFont="1" applyFill="1" applyBorder="1" applyAlignment="1">
      <alignment horizontal="center" vertical="center"/>
    </xf>
    <xf numFmtId="43" fontId="29" fillId="0" borderId="17" xfId="29" applyFont="1" applyFill="1" applyBorder="1" applyAlignment="1">
      <alignment horizontal="center" vertical="center"/>
    </xf>
    <xf numFmtId="43" fontId="29" fillId="0" borderId="19" xfId="29" applyFont="1" applyFill="1" applyBorder="1" applyAlignment="1">
      <alignment horizontal="center" vertical="center"/>
    </xf>
    <xf numFmtId="43" fontId="25" fillId="0" borderId="4" xfId="29" applyFont="1" applyFill="1" applyBorder="1" applyAlignment="1">
      <alignment horizontal="center" vertical="center"/>
    </xf>
    <xf numFmtId="2" fontId="25" fillId="0" borderId="16" xfId="29" applyNumberFormat="1" applyFont="1" applyFill="1" applyBorder="1" applyAlignment="1">
      <alignment horizontal="center" vertical="center"/>
    </xf>
    <xf numFmtId="43" fontId="33" fillId="0" borderId="0" xfId="29" applyFont="1" applyFill="1" applyBorder="1" applyAlignment="1">
      <alignment horizontal="center" vertical="center"/>
    </xf>
    <xf numFmtId="2" fontId="26" fillId="0" borderId="0" xfId="29" applyNumberFormat="1" applyFont="1" applyFill="1" applyBorder="1" applyAlignment="1">
      <alignment horizontal="right" vertical="center"/>
    </xf>
    <xf numFmtId="182" fontId="26" fillId="0" borderId="0" xfId="29" applyNumberFormat="1" applyFont="1" applyFill="1" applyBorder="1"/>
    <xf numFmtId="43" fontId="22" fillId="0" borderId="0" xfId="29" applyFont="1" applyFill="1" applyBorder="1" applyAlignment="1">
      <alignment horizontal="right"/>
    </xf>
    <xf numFmtId="185" fontId="22" fillId="0" borderId="0" xfId="11" applyNumberFormat="1" applyFont="1" applyFill="1"/>
    <xf numFmtId="183" fontId="25" fillId="0" borderId="0" xfId="29" applyNumberFormat="1" applyFont="1" applyFill="1" applyBorder="1"/>
    <xf numFmtId="0" fontId="25" fillId="0" borderId="0" xfId="29" applyNumberFormat="1" applyFont="1" applyFill="1" applyBorder="1"/>
    <xf numFmtId="180" fontId="22" fillId="0" borderId="0" xfId="11" applyNumberFormat="1" applyFont="1" applyFill="1" applyBorder="1" applyAlignment="1">
      <alignment vertical="center"/>
    </xf>
    <xf numFmtId="182" fontId="85" fillId="0" borderId="0" xfId="29" applyNumberFormat="1" applyFont="1" applyFill="1" applyBorder="1" applyAlignment="1">
      <alignment horizontal="right"/>
    </xf>
    <xf numFmtId="182" fontId="85" fillId="0" borderId="16" xfId="29" applyNumberFormat="1" applyFont="1" applyFill="1" applyBorder="1" applyAlignment="1">
      <alignment horizontal="right"/>
    </xf>
    <xf numFmtId="204" fontId="3" fillId="0" borderId="0" xfId="0" applyNumberFormat="1" applyFont="1"/>
    <xf numFmtId="191" fontId="66" fillId="0" borderId="0" xfId="0" applyNumberFormat="1" applyFont="1"/>
    <xf numFmtId="191" fontId="66" fillId="0" borderId="16" xfId="0" applyNumberFormat="1" applyFont="1" applyBorder="1"/>
    <xf numFmtId="188" fontId="26" fillId="0" borderId="0" xfId="11" applyNumberFormat="1" applyFont="1" applyFill="1"/>
    <xf numFmtId="170" fontId="32" fillId="0" borderId="4" xfId="0" applyFont="1" applyBorder="1"/>
    <xf numFmtId="170" fontId="27" fillId="0" borderId="0" xfId="0" applyFont="1" applyAlignment="1">
      <alignment horizontal="left"/>
    </xf>
    <xf numFmtId="167" fontId="86" fillId="0" borderId="0" xfId="11" applyNumberFormat="1" applyFont="1" applyFill="1" applyBorder="1" applyAlignment="1">
      <alignment horizontal="right"/>
    </xf>
    <xf numFmtId="183" fontId="3" fillId="0" borderId="0" xfId="29" applyNumberFormat="1" applyFont="1" applyFill="1" applyBorder="1" applyAlignment="1">
      <alignment horizontal="left"/>
    </xf>
    <xf numFmtId="0" fontId="89" fillId="0" borderId="0" xfId="12" applyFont="1"/>
    <xf numFmtId="170" fontId="3" fillId="0" borderId="0" xfId="0" applyFont="1" applyAlignment="1">
      <alignment horizontal="left"/>
    </xf>
    <xf numFmtId="43" fontId="25" fillId="0" borderId="4" xfId="29" applyFont="1" applyFill="1" applyBorder="1" applyAlignment="1">
      <alignment horizontal="right"/>
    </xf>
    <xf numFmtId="43" fontId="25" fillId="0" borderId="16" xfId="29" applyFont="1" applyFill="1" applyBorder="1" applyAlignment="1">
      <alignment horizontal="right"/>
    </xf>
    <xf numFmtId="43" fontId="30" fillId="0" borderId="0" xfId="29" applyFont="1" applyFill="1" applyBorder="1" applyAlignment="1">
      <alignment horizontal="left"/>
    </xf>
    <xf numFmtId="39" fontId="26" fillId="0" borderId="0" xfId="11" applyNumberFormat="1" applyFont="1" applyFill="1"/>
    <xf numFmtId="43" fontId="29" fillId="0" borderId="13" xfId="29" applyFont="1" applyFill="1" applyBorder="1" applyAlignment="1">
      <alignment horizontal="right"/>
    </xf>
    <xf numFmtId="2" fontId="29" fillId="0" borderId="14" xfId="29" applyNumberFormat="1" applyFont="1" applyFill="1" applyBorder="1" applyAlignment="1">
      <alignment horizontal="right"/>
    </xf>
    <xf numFmtId="2" fontId="25" fillId="0" borderId="16" xfId="29" applyNumberFormat="1" applyFont="1" applyFill="1" applyBorder="1" applyAlignment="1">
      <alignment horizontal="right"/>
    </xf>
    <xf numFmtId="189" fontId="22" fillId="0" borderId="0" xfId="29" applyNumberFormat="1" applyFont="1" applyFill="1" applyBorder="1" applyAlignment="1">
      <alignment horizontal="right"/>
    </xf>
    <xf numFmtId="43" fontId="25" fillId="0" borderId="7" xfId="29" applyFont="1" applyFill="1" applyBorder="1" applyAlignment="1">
      <alignment horizontal="right"/>
    </xf>
    <xf numFmtId="43" fontId="25" fillId="0" borderId="8" xfId="29" applyFont="1" applyFill="1" applyBorder="1" applyAlignment="1">
      <alignment horizontal="right"/>
    </xf>
    <xf numFmtId="43" fontId="29" fillId="0" borderId="4" xfId="29" applyFont="1" applyFill="1" applyBorder="1" applyAlignment="1">
      <alignment horizontal="right"/>
    </xf>
    <xf numFmtId="43" fontId="29" fillId="0" borderId="16" xfId="29" applyFont="1" applyFill="1" applyBorder="1" applyAlignment="1">
      <alignment horizontal="right"/>
    </xf>
    <xf numFmtId="43" fontId="29" fillId="0" borderId="13" xfId="29" applyFont="1" applyFill="1" applyBorder="1"/>
    <xf numFmtId="2" fontId="29" fillId="0" borderId="14" xfId="29" applyNumberFormat="1" applyFont="1" applyFill="1" applyBorder="1"/>
    <xf numFmtId="2" fontId="25" fillId="0" borderId="16" xfId="29" applyNumberFormat="1" applyFont="1" applyFill="1" applyBorder="1"/>
    <xf numFmtId="2" fontId="25" fillId="0" borderId="8" xfId="29" applyNumberFormat="1" applyFont="1" applyFill="1" applyBorder="1"/>
    <xf numFmtId="43" fontId="25" fillId="0" borderId="17" xfId="29" applyFont="1" applyFill="1" applyBorder="1"/>
    <xf numFmtId="43" fontId="25" fillId="0" borderId="19" xfId="29" applyFont="1" applyFill="1" applyBorder="1"/>
    <xf numFmtId="43" fontId="23" fillId="0" borderId="0" xfId="29" applyFont="1" applyFill="1" applyBorder="1" applyAlignment="1">
      <alignment horizontal="right"/>
    </xf>
    <xf numFmtId="43" fontId="26" fillId="0" borderId="0" xfId="29" applyFont="1" applyFill="1"/>
    <xf numFmtId="43" fontId="29" fillId="0" borderId="11" xfId="29" applyFont="1" applyFill="1" applyBorder="1" applyAlignment="1">
      <alignment horizontal="right"/>
    </xf>
    <xf numFmtId="43" fontId="29" fillId="0" borderId="12" xfId="29" applyFont="1" applyFill="1" applyBorder="1" applyAlignment="1">
      <alignment horizontal="right"/>
    </xf>
    <xf numFmtId="43" fontId="29" fillId="0" borderId="4" xfId="29" applyFont="1" applyFill="1" applyBorder="1"/>
    <xf numFmtId="43" fontId="3" fillId="0" borderId="0" xfId="29" applyFont="1" applyFill="1" applyBorder="1"/>
    <xf numFmtId="43" fontId="25" fillId="0" borderId="0" xfId="29" applyFont="1" applyFill="1" applyBorder="1"/>
    <xf numFmtId="43" fontId="29" fillId="0" borderId="11" xfId="29" applyFont="1" applyFill="1" applyBorder="1" applyAlignment="1">
      <alignment horizontal="right" vertical="center"/>
    </xf>
    <xf numFmtId="43" fontId="29" fillId="0" borderId="12" xfId="29" applyFont="1" applyFill="1" applyBorder="1" applyAlignment="1">
      <alignment horizontal="right" vertical="center"/>
    </xf>
    <xf numFmtId="182" fontId="22" fillId="0" borderId="0" xfId="29" applyNumberFormat="1" applyFont="1" applyFill="1" applyBorder="1" applyAlignment="1">
      <alignment horizontal="right"/>
    </xf>
    <xf numFmtId="43" fontId="23" fillId="0" borderId="0" xfId="29" applyFont="1" applyFill="1" applyBorder="1" applyAlignment="1">
      <alignment horizontal="right" wrapText="1"/>
    </xf>
    <xf numFmtId="43" fontId="29" fillId="0" borderId="4" xfId="29" applyFont="1" applyFill="1" applyBorder="1" applyAlignment="1">
      <alignment horizontal="right" vertical="center"/>
    </xf>
    <xf numFmtId="2" fontId="29" fillId="0" borderId="16" xfId="29" applyNumberFormat="1" applyFont="1" applyFill="1" applyBorder="1" applyAlignment="1">
      <alignment horizontal="right" vertical="center"/>
    </xf>
    <xf numFmtId="2" fontId="29" fillId="0" borderId="12" xfId="29" applyNumberFormat="1" applyFont="1" applyFill="1" applyBorder="1" applyAlignment="1">
      <alignment horizontal="right" vertical="center"/>
    </xf>
    <xf numFmtId="43" fontId="25" fillId="0" borderId="11" xfId="29" applyFont="1" applyFill="1" applyBorder="1" applyAlignment="1">
      <alignment vertical="center"/>
    </xf>
    <xf numFmtId="43" fontId="25" fillId="0" borderId="12" xfId="29" applyFont="1" applyFill="1" applyBorder="1" applyAlignment="1">
      <alignment vertical="center"/>
    </xf>
    <xf numFmtId="43" fontId="64" fillId="0" borderId="24" xfId="29" applyFont="1" applyFill="1" applyBorder="1" applyAlignment="1">
      <alignment horizontal="right"/>
    </xf>
    <xf numFmtId="43" fontId="64" fillId="0" borderId="14" xfId="29" applyFont="1" applyFill="1" applyBorder="1" applyAlignment="1">
      <alignment horizontal="right"/>
    </xf>
    <xf numFmtId="211" fontId="22" fillId="0" borderId="0" xfId="11" applyNumberFormat="1" applyFont="1" applyFill="1" applyBorder="1" applyAlignment="1">
      <alignment horizontal="right"/>
    </xf>
    <xf numFmtId="43" fontId="25" fillId="0" borderId="16" xfId="29" applyFont="1" applyFill="1" applyBorder="1"/>
    <xf numFmtId="192" fontId="26" fillId="0" borderId="0" xfId="29" applyNumberFormat="1" applyFont="1" applyFill="1" applyBorder="1"/>
    <xf numFmtId="184" fontId="26" fillId="0" borderId="0" xfId="11" applyNumberFormat="1" applyFont="1" applyFill="1" applyBorder="1"/>
    <xf numFmtId="180" fontId="25" fillId="0" borderId="0" xfId="11" applyNumberFormat="1" applyFont="1" applyFill="1" applyBorder="1" applyAlignment="1">
      <alignment horizontal="center"/>
    </xf>
    <xf numFmtId="183" fontId="3" fillId="0" borderId="0" xfId="29" applyNumberFormat="1" applyFont="1" applyFill="1" applyBorder="1" applyAlignment="1">
      <alignment horizontal="left" vertical="center"/>
    </xf>
    <xf numFmtId="43" fontId="3" fillId="0" borderId="16" xfId="29" applyFont="1" applyFill="1" applyBorder="1" applyAlignment="1">
      <alignment horizontal="left"/>
    </xf>
    <xf numFmtId="183" fontId="3" fillId="0" borderId="0" xfId="29" applyNumberFormat="1" applyFont="1" applyFill="1" applyBorder="1" applyAlignment="1">
      <alignment horizontal="center"/>
    </xf>
    <xf numFmtId="43" fontId="3" fillId="0" borderId="16" xfId="29" applyFont="1" applyFill="1" applyBorder="1" applyAlignment="1">
      <alignment horizontal="right"/>
    </xf>
    <xf numFmtId="43" fontId="3" fillId="0" borderId="16" xfId="29" applyFont="1" applyFill="1" applyBorder="1"/>
    <xf numFmtId="180" fontId="26" fillId="0" borderId="23" xfId="11" applyNumberFormat="1" applyFont="1" applyFill="1" applyBorder="1"/>
    <xf numFmtId="180" fontId="26" fillId="0" borderId="8" xfId="11" applyNumberFormat="1" applyFont="1" applyFill="1" applyBorder="1"/>
    <xf numFmtId="43" fontId="3" fillId="0" borderId="23" xfId="29" applyFont="1" applyFill="1" applyBorder="1"/>
    <xf numFmtId="180" fontId="26" fillId="0" borderId="0" xfId="11" applyNumberFormat="1" applyFont="1" applyFill="1" applyBorder="1" applyAlignment="1">
      <alignment horizontal="right"/>
    </xf>
    <xf numFmtId="43" fontId="23" fillId="0" borderId="15" xfId="29" applyFont="1" applyFill="1" applyBorder="1" applyAlignment="1">
      <alignment horizontal="center"/>
    </xf>
    <xf numFmtId="43" fontId="3" fillId="0" borderId="12" xfId="29" applyFont="1" applyFill="1" applyBorder="1" applyAlignment="1">
      <alignment horizontal="right"/>
    </xf>
    <xf numFmtId="170" fontId="66" fillId="0" borderId="0" xfId="0" applyFont="1" applyAlignment="1">
      <alignment horizontal="right"/>
    </xf>
    <xf numFmtId="1" fontId="22" fillId="0" borderId="11" xfId="11" applyNumberFormat="1" applyFont="1" applyFill="1" applyBorder="1"/>
    <xf numFmtId="43" fontId="22" fillId="0" borderId="15" xfId="29" applyFont="1" applyFill="1" applyBorder="1" applyAlignment="1">
      <alignment horizontal="right" vertical="center" wrapText="1"/>
    </xf>
    <xf numFmtId="43" fontId="22" fillId="0" borderId="12" xfId="29" applyFont="1" applyFill="1" applyBorder="1" applyAlignment="1">
      <alignment horizontal="right" vertical="center" wrapText="1"/>
    </xf>
    <xf numFmtId="43" fontId="86" fillId="0" borderId="0" xfId="29" applyFont="1" applyFill="1" applyBorder="1" applyAlignment="1">
      <alignment horizontal="center" vertical="center" wrapText="1"/>
    </xf>
    <xf numFmtId="180" fontId="22" fillId="0" borderId="15" xfId="11" applyNumberFormat="1" applyFont="1" applyFill="1" applyBorder="1" applyAlignment="1">
      <alignment horizontal="left"/>
    </xf>
    <xf numFmtId="180" fontId="25" fillId="0" borderId="15" xfId="11" applyNumberFormat="1" applyFont="1" applyFill="1" applyBorder="1" applyAlignment="1">
      <alignment horizontal="center"/>
    </xf>
    <xf numFmtId="43" fontId="26" fillId="0" borderId="15" xfId="29" applyFont="1" applyFill="1" applyBorder="1" applyAlignment="1">
      <alignment horizontal="right"/>
    </xf>
    <xf numFmtId="43" fontId="26" fillId="0" borderId="14" xfId="29" applyFont="1" applyFill="1" applyBorder="1" applyAlignment="1">
      <alignment horizontal="right"/>
    </xf>
    <xf numFmtId="43" fontId="33" fillId="0" borderId="0" xfId="29" applyFont="1" applyFill="1" applyBorder="1" applyAlignment="1">
      <alignment horizontal="right"/>
    </xf>
    <xf numFmtId="0" fontId="22" fillId="0" borderId="0" xfId="11" applyNumberFormat="1" applyFont="1" applyFill="1" applyBorder="1" applyAlignment="1">
      <alignment vertical="center"/>
    </xf>
    <xf numFmtId="43" fontId="26" fillId="0" borderId="0" xfId="29" applyFont="1" applyFill="1" applyBorder="1" applyAlignment="1">
      <alignment horizontal="right"/>
    </xf>
    <xf numFmtId="43" fontId="26" fillId="0" borderId="16" xfId="29" applyFont="1" applyFill="1" applyBorder="1" applyAlignment="1">
      <alignment horizontal="right"/>
    </xf>
    <xf numFmtId="194" fontId="26" fillId="0" borderId="0" xfId="11" applyNumberFormat="1" applyFont="1" applyFill="1" applyBorder="1" applyAlignment="1">
      <alignment vertical="center"/>
    </xf>
    <xf numFmtId="0" fontId="22" fillId="0" borderId="0" xfId="11" applyNumberFormat="1" applyFont="1" applyFill="1" applyBorder="1" applyAlignment="1">
      <alignment vertical="center" wrapText="1"/>
    </xf>
    <xf numFmtId="0" fontId="26" fillId="0" borderId="0" xfId="11" applyNumberFormat="1" applyFont="1" applyFill="1" applyBorder="1" applyAlignment="1">
      <alignment vertical="center" wrapText="1"/>
    </xf>
    <xf numFmtId="180" fontId="25" fillId="0" borderId="0" xfId="11" applyNumberFormat="1" applyFont="1" applyFill="1" applyBorder="1" applyAlignment="1">
      <alignment horizontal="left"/>
    </xf>
    <xf numFmtId="0" fontId="26" fillId="0" borderId="0" xfId="11" applyNumberFormat="1" applyFont="1" applyFill="1" applyBorder="1" applyAlignment="1">
      <alignment vertical="center"/>
    </xf>
    <xf numFmtId="43" fontId="33" fillId="0" borderId="0" xfId="29" applyFont="1" applyFill="1" applyBorder="1"/>
    <xf numFmtId="43" fontId="26" fillId="0" borderId="0" xfId="29" applyFont="1" applyFill="1" applyBorder="1"/>
    <xf numFmtId="43" fontId="26" fillId="0" borderId="16" xfId="29" applyFont="1" applyFill="1" applyBorder="1"/>
    <xf numFmtId="0" fontId="26" fillId="0" borderId="0" xfId="11" applyNumberFormat="1" applyFont="1" applyFill="1" applyBorder="1" applyAlignment="1">
      <alignment horizontal="left" wrapText="1" indent="6"/>
    </xf>
    <xf numFmtId="0" fontId="42" fillId="0" borderId="0" xfId="11" applyNumberFormat="1" applyFont="1" applyFill="1" applyBorder="1" applyAlignment="1">
      <alignment vertical="center"/>
    </xf>
    <xf numFmtId="0" fontId="48" fillId="0" borderId="0" xfId="11" applyNumberFormat="1" applyFont="1" applyFill="1" applyBorder="1" applyAlignment="1">
      <alignment horizontal="left" wrapText="1" indent="6"/>
    </xf>
    <xf numFmtId="43" fontId="48" fillId="0" borderId="0" xfId="29" applyFont="1" applyFill="1" applyBorder="1"/>
    <xf numFmtId="43" fontId="25" fillId="0" borderId="23" xfId="29" applyFont="1" applyFill="1" applyBorder="1"/>
    <xf numFmtId="43" fontId="25" fillId="0" borderId="8" xfId="29" applyFont="1" applyFill="1" applyBorder="1"/>
    <xf numFmtId="2" fontId="44" fillId="0" borderId="0" xfId="11" applyNumberFormat="1" applyFont="1" applyFill="1"/>
    <xf numFmtId="43" fontId="29" fillId="0" borderId="25" xfId="29" applyFont="1" applyFill="1" applyBorder="1"/>
    <xf numFmtId="43" fontId="29" fillId="0" borderId="19" xfId="29" applyFont="1" applyFill="1" applyBorder="1"/>
    <xf numFmtId="43" fontId="86" fillId="0" borderId="0" xfId="29" applyFont="1" applyFill="1" applyBorder="1"/>
    <xf numFmtId="186" fontId="44" fillId="0" borderId="0" xfId="11" applyNumberFormat="1" applyFont="1" applyFill="1"/>
    <xf numFmtId="43" fontId="29" fillId="0" borderId="16" xfId="29" applyFont="1" applyFill="1" applyBorder="1"/>
    <xf numFmtId="180" fontId="22" fillId="0" borderId="23" xfId="11" applyNumberFormat="1" applyFont="1" applyFill="1" applyBorder="1" applyAlignment="1">
      <alignment horizontal="left"/>
    </xf>
    <xf numFmtId="0" fontId="26" fillId="0" borderId="0" xfId="11" applyNumberFormat="1" applyFont="1" applyFill="1" applyBorder="1" applyAlignment="1">
      <alignment wrapText="1"/>
    </xf>
    <xf numFmtId="167" fontId="25" fillId="0" borderId="16" xfId="0" applyNumberFormat="1" applyFont="1" applyBorder="1"/>
    <xf numFmtId="167" fontId="33" fillId="0" borderId="0" xfId="0" applyNumberFormat="1" applyFont="1"/>
    <xf numFmtId="180" fontId="26" fillId="0" borderId="0" xfId="11" applyNumberFormat="1" applyFont="1" applyFill="1" applyBorder="1" applyAlignment="1">
      <alignment horizontal="left"/>
    </xf>
    <xf numFmtId="167" fontId="25" fillId="0" borderId="23" xfId="0" applyNumberFormat="1" applyFont="1" applyBorder="1"/>
    <xf numFmtId="167" fontId="25" fillId="0" borderId="8" xfId="0" applyNumberFormat="1" applyFont="1" applyBorder="1"/>
    <xf numFmtId="180" fontId="22" fillId="0" borderId="0" xfId="11" applyNumberFormat="1" applyFont="1" applyFill="1" applyBorder="1" applyAlignment="1">
      <alignment horizontal="left"/>
    </xf>
    <xf numFmtId="180" fontId="26" fillId="0" borderId="0" xfId="11" applyNumberFormat="1" applyFont="1" applyFill="1" applyBorder="1" applyAlignment="1"/>
    <xf numFmtId="167" fontId="25" fillId="0" borderId="14" xfId="0" applyNumberFormat="1" applyFont="1" applyBorder="1"/>
    <xf numFmtId="180" fontId="26" fillId="0" borderId="0" xfId="11" applyNumberFormat="1" applyFont="1" applyFill="1" applyBorder="1" applyAlignment="1">
      <alignment horizontal="left" indent="2"/>
    </xf>
    <xf numFmtId="167" fontId="29" fillId="0" borderId="16" xfId="0" applyNumberFormat="1" applyFont="1" applyBorder="1"/>
    <xf numFmtId="167" fontId="86" fillId="0" borderId="0" xfId="0" applyNumberFormat="1" applyFont="1"/>
    <xf numFmtId="167" fontId="29" fillId="0" borderId="25" xfId="0" applyNumberFormat="1" applyFont="1" applyBorder="1"/>
    <xf numFmtId="167" fontId="29" fillId="0" borderId="19" xfId="0" applyNumberFormat="1" applyFont="1" applyBorder="1"/>
    <xf numFmtId="196" fontId="26" fillId="0" borderId="0" xfId="11" applyNumberFormat="1" applyFont="1" applyFill="1" applyBorder="1"/>
    <xf numFmtId="167" fontId="29" fillId="0" borderId="21" xfId="0" applyNumberFormat="1" applyFont="1" applyBorder="1"/>
    <xf numFmtId="167" fontId="29" fillId="0" borderId="22" xfId="0" applyNumberFormat="1" applyFont="1" applyBorder="1"/>
    <xf numFmtId="43" fontId="25" fillId="0" borderId="0" xfId="29" applyFont="1" applyFill="1" applyBorder="1" applyAlignment="1">
      <alignment horizontal="right"/>
    </xf>
    <xf numFmtId="189" fontId="26" fillId="0" borderId="0" xfId="11" applyNumberFormat="1" applyFont="1" applyFill="1" applyBorder="1"/>
    <xf numFmtId="43" fontId="29" fillId="0" borderId="25" xfId="29" applyFont="1" applyFill="1" applyBorder="1" applyAlignment="1">
      <alignment horizontal="right"/>
    </xf>
    <xf numFmtId="43" fontId="29" fillId="0" borderId="19" xfId="29" applyFont="1" applyFill="1" applyBorder="1" applyAlignment="1">
      <alignment horizontal="right"/>
    </xf>
    <xf numFmtId="43" fontId="86" fillId="0" borderId="0" xfId="29" applyFont="1" applyFill="1" applyBorder="1" applyAlignment="1">
      <alignment horizontal="right"/>
    </xf>
    <xf numFmtId="167" fontId="33" fillId="0" borderId="0" xfId="11" applyNumberFormat="1" applyFont="1" applyFill="1" applyBorder="1" applyAlignment="1">
      <alignment horizontal="right"/>
    </xf>
    <xf numFmtId="167" fontId="26" fillId="0" borderId="16" xfId="11" applyNumberFormat="1" applyFont="1" applyFill="1" applyBorder="1" applyAlignment="1">
      <alignment horizontal="right"/>
    </xf>
    <xf numFmtId="180" fontId="45" fillId="0" borderId="0" xfId="11" applyNumberFormat="1" applyFont="1" applyFill="1" applyBorder="1"/>
    <xf numFmtId="167" fontId="33" fillId="0" borderId="0" xfId="29" applyNumberFormat="1" applyFont="1" applyFill="1" applyBorder="1" applyAlignment="1">
      <alignment horizontal="right"/>
    </xf>
    <xf numFmtId="180" fontId="46" fillId="0" borderId="0" xfId="11" applyNumberFormat="1" applyFont="1" applyFill="1" applyBorder="1"/>
    <xf numFmtId="180" fontId="22" fillId="0" borderId="0" xfId="11" applyNumberFormat="1" applyFont="1" applyFill="1" applyBorder="1" applyAlignment="1"/>
    <xf numFmtId="1" fontId="22" fillId="0" borderId="7" xfId="11" applyNumberFormat="1" applyFont="1" applyFill="1" applyBorder="1"/>
    <xf numFmtId="180" fontId="26" fillId="0" borderId="23" xfId="11" applyNumberFormat="1" applyFont="1" applyFill="1" applyBorder="1" applyAlignment="1">
      <alignment horizontal="left"/>
    </xf>
    <xf numFmtId="180" fontId="25" fillId="0" borderId="23" xfId="11" applyNumberFormat="1" applyFont="1" applyFill="1" applyBorder="1" applyAlignment="1">
      <alignment horizontal="center"/>
    </xf>
    <xf numFmtId="167" fontId="29" fillId="0" borderId="23" xfId="0" applyNumberFormat="1" applyFont="1" applyBorder="1"/>
    <xf numFmtId="167" fontId="29" fillId="0" borderId="8" xfId="0" applyNumberFormat="1" applyFont="1" applyBorder="1"/>
    <xf numFmtId="180" fontId="25" fillId="0" borderId="24" xfId="11" applyNumberFormat="1" applyFont="1" applyFill="1" applyBorder="1" applyAlignment="1">
      <alignment horizontal="center"/>
    </xf>
    <xf numFmtId="167" fontId="29" fillId="0" borderId="24" xfId="0" applyNumberFormat="1" applyFont="1" applyBorder="1"/>
    <xf numFmtId="167" fontId="29" fillId="0" borderId="14" xfId="0" applyNumberFormat="1" applyFont="1" applyBorder="1"/>
    <xf numFmtId="180" fontId="22" fillId="0" borderId="0" xfId="11" applyNumberFormat="1" applyFont="1" applyFill="1" applyBorder="1"/>
    <xf numFmtId="199" fontId="26" fillId="0" borderId="0" xfId="29" applyNumberFormat="1" applyFont="1" applyFill="1"/>
    <xf numFmtId="200" fontId="26" fillId="0" borderId="0" xfId="11" applyNumberFormat="1" applyFont="1" applyFill="1"/>
    <xf numFmtId="0" fontId="37" fillId="0" borderId="24" xfId="12" applyFont="1" applyBorder="1" applyAlignment="1">
      <alignment horizontal="center"/>
    </xf>
    <xf numFmtId="167" fontId="22" fillId="0" borderId="24" xfId="11" applyNumberFormat="1" applyFont="1" applyFill="1" applyBorder="1" applyAlignment="1">
      <alignment horizontal="right" vertical="center" wrapText="1"/>
    </xf>
    <xf numFmtId="167" fontId="22" fillId="0" borderId="14" xfId="11" applyNumberFormat="1" applyFont="1" applyFill="1" applyBorder="1" applyAlignment="1">
      <alignment horizontal="right" vertical="center" wrapText="1"/>
    </xf>
    <xf numFmtId="194" fontId="25" fillId="0" borderId="0" xfId="11" applyNumberFormat="1" applyFont="1" applyFill="1" applyBorder="1" applyAlignment="1">
      <alignment horizontal="center"/>
    </xf>
    <xf numFmtId="167" fontId="22" fillId="0" borderId="0" xfId="29" applyNumberFormat="1" applyFont="1" applyFill="1" applyBorder="1" applyAlignment="1">
      <alignment horizontal="right"/>
    </xf>
    <xf numFmtId="182" fontId="26" fillId="0" borderId="0" xfId="29" applyNumberFormat="1" applyFont="1" applyFill="1"/>
    <xf numFmtId="167" fontId="25" fillId="0" borderId="22" xfId="0" applyNumberFormat="1" applyFont="1" applyBorder="1"/>
    <xf numFmtId="180" fontId="22" fillId="0" borderId="0" xfId="11" applyNumberFormat="1" applyFont="1" applyFill="1" applyBorder="1" applyAlignment="1">
      <alignment horizontal="left" indent="2"/>
    </xf>
    <xf numFmtId="180" fontId="22" fillId="0" borderId="0" xfId="11" applyNumberFormat="1" applyFont="1" applyFill="1" applyBorder="1" applyAlignment="1">
      <alignment horizontal="left" indent="3"/>
    </xf>
    <xf numFmtId="0" fontId="26" fillId="0" borderId="0" xfId="11" applyNumberFormat="1" applyFont="1" applyFill="1" applyBorder="1" applyAlignment="1">
      <alignment horizontal="left" wrapText="1" indent="5"/>
    </xf>
    <xf numFmtId="180" fontId="25" fillId="0" borderId="0" xfId="11" applyNumberFormat="1" applyFont="1" applyFill="1" applyBorder="1" applyAlignment="1">
      <alignment horizontal="left" wrapText="1" indent="4"/>
    </xf>
    <xf numFmtId="0" fontId="22" fillId="0" borderId="0" xfId="11" applyNumberFormat="1" applyFont="1" applyFill="1" applyBorder="1" applyAlignment="1">
      <alignment wrapText="1"/>
    </xf>
    <xf numFmtId="43" fontId="29" fillId="0" borderId="0" xfId="29" applyFont="1" applyFill="1" applyBorder="1" applyAlignment="1">
      <alignment horizontal="right"/>
    </xf>
    <xf numFmtId="170" fontId="3" fillId="0" borderId="8" xfId="0" applyFont="1" applyBorder="1"/>
    <xf numFmtId="180" fontId="29" fillId="0" borderId="15" xfId="11" applyNumberFormat="1" applyFont="1" applyFill="1" applyBorder="1" applyAlignment="1">
      <alignment horizontal="left"/>
    </xf>
    <xf numFmtId="170" fontId="3" fillId="0" borderId="14" xfId="0" applyFont="1" applyBorder="1"/>
    <xf numFmtId="180" fontId="25" fillId="0" borderId="0" xfId="11" applyNumberFormat="1" applyFont="1" applyFill="1" applyBorder="1" applyAlignment="1">
      <alignment horizontal="left" indent="2"/>
    </xf>
    <xf numFmtId="180" fontId="25" fillId="0" borderId="0" xfId="11" applyNumberFormat="1" applyFont="1" applyFill="1" applyBorder="1" applyAlignment="1"/>
    <xf numFmtId="180" fontId="29" fillId="0" borderId="23" xfId="11" applyNumberFormat="1" applyFont="1" applyFill="1" applyBorder="1" applyAlignment="1">
      <alignment horizontal="left"/>
    </xf>
    <xf numFmtId="180" fontId="29" fillId="0" borderId="0" xfId="11" applyNumberFormat="1" applyFont="1" applyFill="1" applyBorder="1" applyAlignment="1"/>
    <xf numFmtId="167" fontId="25" fillId="0" borderId="0" xfId="11" applyNumberFormat="1" applyFont="1" applyFill="1" applyBorder="1" applyAlignment="1">
      <alignment horizontal="right"/>
    </xf>
    <xf numFmtId="167" fontId="25" fillId="0" borderId="24" xfId="11" applyNumberFormat="1" applyFont="1" applyFill="1" applyBorder="1" applyAlignment="1">
      <alignment horizontal="right"/>
    </xf>
    <xf numFmtId="167" fontId="25" fillId="0" borderId="14" xfId="11" applyNumberFormat="1" applyFont="1" applyFill="1" applyBorder="1" applyAlignment="1">
      <alignment horizontal="right"/>
    </xf>
    <xf numFmtId="167" fontId="25" fillId="0" borderId="16" xfId="11" applyNumberFormat="1" applyFont="1" applyFill="1" applyBorder="1" applyAlignment="1">
      <alignment horizontal="right"/>
    </xf>
    <xf numFmtId="180" fontId="25" fillId="0" borderId="23" xfId="11" applyNumberFormat="1" applyFont="1" applyFill="1" applyBorder="1" applyAlignment="1">
      <alignment horizontal="left"/>
    </xf>
    <xf numFmtId="167" fontId="25" fillId="0" borderId="23" xfId="11" applyNumberFormat="1" applyFont="1" applyFill="1" applyBorder="1" applyAlignment="1">
      <alignment horizontal="right"/>
    </xf>
    <xf numFmtId="167" fontId="25" fillId="0" borderId="8" xfId="11" applyNumberFormat="1" applyFont="1" applyFill="1" applyBorder="1" applyAlignment="1">
      <alignment horizontal="right"/>
    </xf>
    <xf numFmtId="167" fontId="26" fillId="0" borderId="24" xfId="11" applyNumberFormat="1" applyFont="1" applyFill="1" applyBorder="1" applyAlignment="1">
      <alignment horizontal="right"/>
    </xf>
    <xf numFmtId="167" fontId="26" fillId="0" borderId="14" xfId="11" applyNumberFormat="1" applyFont="1" applyFill="1" applyBorder="1" applyAlignment="1">
      <alignment horizontal="right"/>
    </xf>
    <xf numFmtId="0" fontId="26" fillId="0" borderId="16" xfId="11" applyNumberFormat="1" applyFont="1" applyFill="1" applyBorder="1" applyAlignment="1">
      <alignment wrapText="1"/>
    </xf>
    <xf numFmtId="0" fontId="33" fillId="0" borderId="0" xfId="11" applyNumberFormat="1" applyFont="1" applyFill="1" applyBorder="1" applyAlignment="1">
      <alignment wrapText="1"/>
    </xf>
    <xf numFmtId="180" fontId="22" fillId="0" borderId="23" xfId="11" applyNumberFormat="1" applyFont="1" applyFill="1" applyBorder="1" applyAlignment="1"/>
    <xf numFmtId="187" fontId="26" fillId="0" borderId="16" xfId="11" applyNumberFormat="1" applyFont="1" applyFill="1" applyBorder="1" applyAlignment="1">
      <alignment horizontal="right"/>
    </xf>
    <xf numFmtId="167" fontId="66" fillId="0" borderId="0" xfId="0" applyNumberFormat="1" applyFont="1"/>
    <xf numFmtId="167" fontId="25" fillId="0" borderId="26" xfId="0" applyNumberFormat="1" applyFont="1" applyBorder="1"/>
    <xf numFmtId="0" fontId="37" fillId="0" borderId="27" xfId="12" applyFont="1" applyBorder="1" applyAlignment="1">
      <alignment vertical="center"/>
    </xf>
    <xf numFmtId="170" fontId="3" fillId="0" borderId="28" xfId="0" applyFont="1" applyBorder="1" applyAlignment="1">
      <alignment horizontal="right"/>
    </xf>
    <xf numFmtId="180" fontId="39" fillId="0" borderId="29" xfId="11" applyNumberFormat="1" applyFont="1" applyFill="1" applyBorder="1" applyAlignment="1">
      <alignment horizontal="center" vertical="center"/>
    </xf>
    <xf numFmtId="180" fontId="29" fillId="0" borderId="29" xfId="11" applyNumberFormat="1" applyFont="1" applyFill="1" applyBorder="1" applyAlignment="1">
      <alignment horizontal="center" vertical="center"/>
    </xf>
    <xf numFmtId="167" fontId="29" fillId="0" borderId="29" xfId="11" applyNumberFormat="1" applyFont="1" applyFill="1" applyBorder="1" applyAlignment="1">
      <alignment horizontal="right" vertical="center"/>
    </xf>
    <xf numFmtId="167" fontId="29" fillId="0" borderId="30" xfId="11" applyNumberFormat="1" applyFont="1" applyFill="1" applyBorder="1" applyAlignment="1">
      <alignment horizontal="right" vertical="center" wrapText="1"/>
    </xf>
    <xf numFmtId="180" fontId="29" fillId="0" borderId="23" xfId="11" applyNumberFormat="1" applyFont="1" applyFill="1" applyBorder="1"/>
    <xf numFmtId="180" fontId="25" fillId="0" borderId="0" xfId="11" applyNumberFormat="1" applyFont="1" applyFill="1" applyBorder="1" applyAlignment="1">
      <alignment horizontal="left" indent="1"/>
    </xf>
    <xf numFmtId="0" fontId="25" fillId="0" borderId="0" xfId="29" applyNumberFormat="1" applyFont="1" applyFill="1" applyBorder="1" applyAlignment="1">
      <alignment horizontal="left" indent="1"/>
    </xf>
    <xf numFmtId="167" fontId="25" fillId="0" borderId="0" xfId="29" applyNumberFormat="1" applyFont="1" applyFill="1" applyBorder="1" applyAlignment="1">
      <alignment horizontal="right"/>
    </xf>
    <xf numFmtId="167" fontId="25" fillId="0" borderId="16" xfId="29" applyNumberFormat="1" applyFont="1" applyFill="1" applyBorder="1" applyAlignment="1">
      <alignment horizontal="right"/>
    </xf>
    <xf numFmtId="1" fontId="25" fillId="0" borderId="0" xfId="29" applyNumberFormat="1" applyFont="1" applyFill="1" applyBorder="1" applyAlignment="1">
      <alignment horizontal="left"/>
    </xf>
    <xf numFmtId="180" fontId="29" fillId="0" borderId="0" xfId="11" applyNumberFormat="1" applyFont="1" applyFill="1" applyBorder="1" applyAlignment="1">
      <alignment horizontal="center"/>
    </xf>
    <xf numFmtId="43" fontId="29" fillId="0" borderId="15" xfId="29" applyFont="1" applyFill="1" applyBorder="1" applyAlignment="1">
      <alignment horizontal="right"/>
    </xf>
    <xf numFmtId="186" fontId="66" fillId="0" borderId="0" xfId="0" applyNumberFormat="1" applyFont="1"/>
    <xf numFmtId="4" fontId="66" fillId="0" borderId="0" xfId="0" applyNumberFormat="1" applyFont="1"/>
    <xf numFmtId="180" fontId="29" fillId="0" borderId="0" xfId="11" applyNumberFormat="1" applyFont="1" applyFill="1" applyBorder="1"/>
    <xf numFmtId="43" fontId="29" fillId="0" borderId="31" xfId="29" applyFont="1" applyFill="1" applyBorder="1" applyAlignment="1">
      <alignment horizontal="right"/>
    </xf>
    <xf numFmtId="43" fontId="29" fillId="0" borderId="32" xfId="29" applyFont="1" applyFill="1" applyBorder="1" applyAlignment="1">
      <alignment horizontal="right"/>
    </xf>
    <xf numFmtId="165" fontId="26" fillId="0" borderId="0" xfId="11" applyNumberFormat="1" applyFont="1" applyFill="1"/>
    <xf numFmtId="1" fontId="22" fillId="0" borderId="0" xfId="11" applyNumberFormat="1" applyFont="1" applyFill="1" applyBorder="1"/>
    <xf numFmtId="43" fontId="25" fillId="0" borderId="23" xfId="29" applyFont="1" applyFill="1" applyBorder="1" applyAlignment="1">
      <alignment horizontal="right"/>
    </xf>
    <xf numFmtId="180" fontId="25" fillId="0" borderId="0" xfId="11" applyNumberFormat="1" applyFont="1" applyFill="1" applyBorder="1" applyAlignment="1">
      <alignment horizontal="center" vertical="center"/>
    </xf>
    <xf numFmtId="167" fontId="29" fillId="0" borderId="16" xfId="11" applyNumberFormat="1" applyFont="1" applyFill="1" applyBorder="1" applyAlignment="1">
      <alignment horizontal="right"/>
    </xf>
    <xf numFmtId="180" fontId="25" fillId="0" borderId="0" xfId="11" applyNumberFormat="1" applyFont="1" applyFill="1" applyBorder="1" applyAlignment="1">
      <alignment horizontal="left" wrapText="1" indent="2"/>
    </xf>
    <xf numFmtId="1" fontId="26" fillId="0" borderId="0" xfId="11" applyNumberFormat="1" applyFont="1" applyFill="1"/>
    <xf numFmtId="180" fontId="25" fillId="0" borderId="23" xfId="11" applyNumberFormat="1" applyFont="1" applyFill="1" applyBorder="1"/>
    <xf numFmtId="43" fontId="29" fillId="0" borderId="23" xfId="29" applyFont="1" applyFill="1" applyBorder="1" applyAlignment="1">
      <alignment horizontal="right"/>
    </xf>
    <xf numFmtId="43" fontId="29" fillId="0" borderId="8" xfId="29" applyFont="1" applyFill="1" applyBorder="1" applyAlignment="1">
      <alignment horizontal="right"/>
    </xf>
    <xf numFmtId="180" fontId="22" fillId="0" borderId="11" xfId="11" applyNumberFormat="1" applyFont="1" applyFill="1" applyBorder="1"/>
    <xf numFmtId="167" fontId="26" fillId="0" borderId="15" xfId="11" applyNumberFormat="1" applyFont="1" applyFill="1" applyBorder="1" applyAlignment="1">
      <alignment horizontal="right"/>
    </xf>
    <xf numFmtId="167" fontId="26" fillId="0" borderId="12" xfId="11" applyNumberFormat="1" applyFont="1" applyFill="1" applyBorder="1" applyAlignment="1">
      <alignment horizontal="right"/>
    </xf>
    <xf numFmtId="180" fontId="26" fillId="0" borderId="4" xfId="11" applyNumberFormat="1" applyFont="1" applyFill="1" applyBorder="1" applyAlignment="1">
      <alignment horizontal="left" indent="2"/>
    </xf>
    <xf numFmtId="180" fontId="66" fillId="0" borderId="0" xfId="0" applyNumberFormat="1" applyFont="1"/>
    <xf numFmtId="1" fontId="22" fillId="0" borderId="4" xfId="29" applyNumberFormat="1" applyFont="1" applyFill="1" applyBorder="1" applyAlignment="1">
      <alignment horizontal="left"/>
    </xf>
    <xf numFmtId="180" fontId="26" fillId="0" borderId="4" xfId="11" applyNumberFormat="1" applyFont="1" applyFill="1" applyBorder="1" applyAlignment="1">
      <alignment horizontal="left" wrapText="1" indent="2"/>
    </xf>
    <xf numFmtId="180" fontId="25" fillId="0" borderId="0" xfId="11" applyNumberFormat="1" applyFont="1" applyFill="1" applyBorder="1" applyAlignment="1">
      <alignment vertical="center"/>
    </xf>
    <xf numFmtId="180" fontId="42" fillId="0" borderId="4" xfId="11" applyNumberFormat="1" applyFont="1" applyFill="1" applyBorder="1" applyAlignment="1">
      <alignment horizontal="left" indent="2"/>
    </xf>
    <xf numFmtId="180" fontId="33" fillId="0" borderId="0" xfId="11" applyNumberFormat="1" applyFont="1" applyFill="1" applyBorder="1" applyAlignment="1"/>
    <xf numFmtId="1" fontId="26" fillId="0" borderId="4" xfId="29" applyNumberFormat="1" applyFont="1" applyFill="1" applyBorder="1" applyAlignment="1"/>
    <xf numFmtId="0" fontId="25" fillId="0" borderId="0" xfId="11" applyNumberFormat="1" applyFont="1" applyFill="1" applyBorder="1" applyAlignment="1">
      <alignment wrapText="1"/>
    </xf>
    <xf numFmtId="0" fontId="22" fillId="0" borderId="7" xfId="11" applyNumberFormat="1" applyFont="1" applyFill="1" applyBorder="1" applyAlignment="1"/>
    <xf numFmtId="180" fontId="29" fillId="0" borderId="23" xfId="11" applyNumberFormat="1" applyFont="1" applyFill="1" applyBorder="1" applyAlignment="1"/>
    <xf numFmtId="0" fontId="26" fillId="0" borderId="0" xfId="11" applyNumberFormat="1" applyFont="1" applyFill="1" applyBorder="1" applyAlignment="1"/>
    <xf numFmtId="167" fontId="26" fillId="0" borderId="16" xfId="29" applyNumberFormat="1" applyFont="1" applyFill="1" applyBorder="1" applyAlignment="1">
      <alignment horizontal="right"/>
    </xf>
    <xf numFmtId="180" fontId="22" fillId="0" borderId="23" xfId="11" applyNumberFormat="1" applyFont="1" applyFill="1" applyBorder="1"/>
    <xf numFmtId="0" fontId="22" fillId="0" borderId="23" xfId="11" applyNumberFormat="1" applyFont="1" applyFill="1" applyBorder="1" applyAlignment="1"/>
    <xf numFmtId="0" fontId="26" fillId="0" borderId="0" xfId="11" applyNumberFormat="1" applyFont="1" applyFill="1" applyAlignment="1"/>
    <xf numFmtId="180" fontId="25" fillId="0" borderId="0" xfId="11" applyNumberFormat="1" applyFont="1" applyFill="1" applyAlignment="1"/>
    <xf numFmtId="187" fontId="26" fillId="0" borderId="0" xfId="11" applyNumberFormat="1" applyFont="1" applyFill="1" applyBorder="1" applyAlignment="1">
      <alignment horizontal="right"/>
    </xf>
    <xf numFmtId="180" fontId="25" fillId="0" borderId="0" xfId="11" applyNumberFormat="1" applyFont="1" applyFill="1" applyAlignment="1">
      <alignment horizontal="center"/>
    </xf>
    <xf numFmtId="187" fontId="22" fillId="0" borderId="0" xfId="11" applyNumberFormat="1" applyFont="1" applyFill="1" applyBorder="1" applyAlignment="1">
      <alignment horizontal="right"/>
    </xf>
    <xf numFmtId="167" fontId="22" fillId="0" borderId="16" xfId="11" applyNumberFormat="1" applyFont="1" applyFill="1" applyBorder="1" applyAlignment="1">
      <alignment horizontal="right"/>
    </xf>
    <xf numFmtId="1" fontId="3" fillId="0" borderId="0" xfId="29" applyNumberFormat="1" applyFont="1" applyFill="1"/>
    <xf numFmtId="183" fontId="3" fillId="0" borderId="0" xfId="29" applyNumberFormat="1" applyFont="1" applyFill="1"/>
    <xf numFmtId="183" fontId="3" fillId="0" borderId="16" xfId="29" applyNumberFormat="1" applyFont="1" applyFill="1" applyBorder="1"/>
    <xf numFmtId="170" fontId="27" fillId="0" borderId="13" xfId="0" applyFont="1" applyBorder="1"/>
    <xf numFmtId="170" fontId="3" fillId="0" borderId="24" xfId="0" applyFont="1" applyBorder="1" applyAlignment="1">
      <alignment horizontal="center"/>
    </xf>
    <xf numFmtId="1" fontId="3" fillId="0" borderId="24" xfId="29" applyNumberFormat="1" applyFont="1" applyFill="1" applyBorder="1"/>
    <xf numFmtId="183" fontId="3" fillId="0" borderId="24" xfId="29" applyNumberFormat="1" applyFont="1" applyFill="1" applyBorder="1"/>
    <xf numFmtId="183" fontId="3" fillId="0" borderId="14" xfId="29" applyNumberFormat="1" applyFont="1" applyFill="1" applyBorder="1"/>
    <xf numFmtId="170" fontId="47" fillId="0" borderId="4" xfId="0" applyFont="1" applyBorder="1"/>
    <xf numFmtId="1" fontId="3" fillId="0" borderId="0" xfId="29" applyNumberFormat="1" applyFont="1" applyFill="1" applyBorder="1"/>
    <xf numFmtId="183" fontId="3" fillId="0" borderId="0" xfId="29" applyNumberFormat="1" applyFont="1" applyFill="1" applyBorder="1"/>
    <xf numFmtId="1" fontId="3" fillId="0" borderId="16" xfId="29" applyNumberFormat="1" applyFont="1" applyFill="1" applyBorder="1"/>
    <xf numFmtId="183" fontId="49" fillId="0" borderId="16" xfId="29" applyNumberFormat="1" applyFont="1" applyFill="1" applyBorder="1"/>
    <xf numFmtId="2" fontId="3" fillId="0" borderId="15" xfId="29" applyNumberFormat="1" applyFont="1" applyFill="1" applyBorder="1"/>
    <xf numFmtId="43" fontId="3" fillId="0" borderId="12" xfId="29" applyFont="1" applyFill="1" applyBorder="1"/>
    <xf numFmtId="183" fontId="47" fillId="0" borderId="0" xfId="29" applyNumberFormat="1" applyFont="1" applyFill="1" applyBorder="1" applyAlignment="1"/>
    <xf numFmtId="183" fontId="47" fillId="0" borderId="16" xfId="29" applyNumberFormat="1" applyFont="1" applyFill="1" applyBorder="1" applyAlignment="1"/>
    <xf numFmtId="180" fontId="26" fillId="0" borderId="14" xfId="11" applyNumberFormat="1" applyFont="1" applyFill="1" applyBorder="1"/>
    <xf numFmtId="180" fontId="26" fillId="0" borderId="16" xfId="11" applyNumberFormat="1" applyFont="1" applyFill="1" applyBorder="1"/>
    <xf numFmtId="1" fontId="47" fillId="0" borderId="0" xfId="29" applyNumberFormat="1" applyFont="1" applyFill="1" applyBorder="1" applyAlignment="1">
      <alignment horizontal="center"/>
    </xf>
    <xf numFmtId="183" fontId="47" fillId="0" borderId="16" xfId="29" applyNumberFormat="1" applyFont="1" applyFill="1" applyBorder="1" applyAlignment="1">
      <alignment horizontal="center"/>
    </xf>
    <xf numFmtId="183" fontId="3" fillId="0" borderId="23" xfId="29" applyNumberFormat="1" applyFont="1" applyFill="1" applyBorder="1"/>
    <xf numFmtId="1" fontId="3" fillId="0" borderId="8" xfId="29" applyNumberFormat="1" applyFont="1" applyFill="1" applyBorder="1"/>
    <xf numFmtId="2" fontId="26" fillId="0" borderId="11" xfId="11" applyNumberFormat="1" applyFont="1" applyFill="1" applyBorder="1"/>
    <xf numFmtId="1" fontId="3" fillId="0" borderId="15" xfId="29" applyNumberFormat="1" applyFont="1" applyFill="1" applyBorder="1"/>
    <xf numFmtId="183" fontId="3" fillId="0" borderId="11" xfId="0" applyNumberFormat="1" applyFont="1" applyBorder="1"/>
    <xf numFmtId="1" fontId="28" fillId="0" borderId="0" xfId="11" applyNumberFormat="1" applyFont="1" applyFill="1" applyAlignment="1">
      <alignment horizontal="left" vertical="center"/>
    </xf>
    <xf numFmtId="180" fontId="28" fillId="0" borderId="0" xfId="11" applyNumberFormat="1" applyFont="1" applyFill="1"/>
    <xf numFmtId="1" fontId="22" fillId="0" borderId="1" xfId="11" applyNumberFormat="1" applyFont="1" applyFill="1" applyBorder="1"/>
    <xf numFmtId="180" fontId="22" fillId="0" borderId="11" xfId="11" applyNumberFormat="1" applyFont="1" applyFill="1" applyBorder="1" applyAlignment="1">
      <alignment horizontal="center" vertical="center"/>
    </xf>
    <xf numFmtId="180" fontId="29" fillId="0" borderId="12" xfId="11" applyNumberFormat="1" applyFont="1" applyFill="1" applyBorder="1" applyAlignment="1">
      <alignment horizontal="center"/>
    </xf>
    <xf numFmtId="1" fontId="22" fillId="0" borderId="9" xfId="11" applyNumberFormat="1" applyFont="1" applyFill="1" applyBorder="1"/>
    <xf numFmtId="180" fontId="26" fillId="0" borderId="13" xfId="11" applyNumberFormat="1" applyFont="1" applyFill="1" applyBorder="1"/>
    <xf numFmtId="180" fontId="25" fillId="0" borderId="14" xfId="11" applyNumberFormat="1" applyFont="1" applyFill="1" applyBorder="1" applyAlignment="1">
      <alignment horizontal="center"/>
    </xf>
    <xf numFmtId="1" fontId="22" fillId="0" borderId="2" xfId="11" applyNumberFormat="1" applyFont="1" applyFill="1" applyBorder="1" applyAlignment="1">
      <alignment horizontal="center" vertical="center"/>
    </xf>
    <xf numFmtId="180" fontId="25" fillId="0" borderId="16" xfId="11" applyNumberFormat="1" applyFont="1" applyFill="1" applyBorder="1" applyAlignment="1">
      <alignment horizontal="center" vertical="center"/>
    </xf>
    <xf numFmtId="43" fontId="3" fillId="0" borderId="2" xfId="0" applyNumberFormat="1" applyFont="1" applyBorder="1" applyAlignment="1">
      <alignment vertical="center"/>
    </xf>
    <xf numFmtId="1" fontId="22" fillId="0" borderId="10" xfId="11" applyNumberFormat="1" applyFont="1" applyFill="1" applyBorder="1" applyAlignment="1">
      <alignment horizontal="center" vertical="center"/>
    </xf>
    <xf numFmtId="1" fontId="22" fillId="0" borderId="1" xfId="11" applyNumberFormat="1" applyFont="1" applyFill="1" applyBorder="1" applyAlignment="1">
      <alignment horizontal="center" vertical="center"/>
    </xf>
    <xf numFmtId="180" fontId="26" fillId="0" borderId="11" xfId="11" applyNumberFormat="1" applyFont="1" applyFill="1" applyBorder="1" applyAlignment="1">
      <alignment vertical="center"/>
    </xf>
    <xf numFmtId="180" fontId="25" fillId="0" borderId="12" xfId="11" applyNumberFormat="1" applyFont="1" applyFill="1" applyBorder="1" applyAlignment="1">
      <alignment horizontal="center" vertical="center"/>
    </xf>
    <xf numFmtId="9" fontId="3" fillId="0" borderId="1" xfId="9" applyFont="1" applyFill="1" applyBorder="1" applyAlignment="1">
      <alignment vertical="center"/>
    </xf>
    <xf numFmtId="1" fontId="22" fillId="0" borderId="9" xfId="11" applyNumberFormat="1" applyFont="1" applyFill="1" applyBorder="1" applyAlignment="1">
      <alignment horizontal="center" vertical="center"/>
    </xf>
    <xf numFmtId="180" fontId="26" fillId="0" borderId="14" xfId="13" applyNumberFormat="1" applyFont="1" applyFill="1" applyBorder="1"/>
    <xf numFmtId="10" fontId="3" fillId="0" borderId="15" xfId="9" applyNumberFormat="1" applyFont="1" applyFill="1" applyBorder="1" applyAlignment="1">
      <alignment vertical="center"/>
    </xf>
    <xf numFmtId="10" fontId="3" fillId="0" borderId="1" xfId="9" applyNumberFormat="1" applyFont="1" applyFill="1" applyBorder="1" applyAlignment="1">
      <alignment vertical="center"/>
    </xf>
    <xf numFmtId="9" fontId="3" fillId="0" borderId="10" xfId="9" applyFont="1" applyFill="1" applyBorder="1" applyAlignment="1">
      <alignment vertical="center"/>
    </xf>
    <xf numFmtId="167" fontId="3" fillId="0" borderId="0" xfId="0" applyNumberFormat="1" applyFont="1" applyAlignment="1">
      <alignment vertical="center"/>
    </xf>
    <xf numFmtId="167" fontId="3" fillId="0" borderId="2" xfId="0" applyNumberFormat="1" applyFont="1" applyBorder="1" applyAlignment="1">
      <alignment vertical="center"/>
    </xf>
    <xf numFmtId="9" fontId="3" fillId="0" borderId="8" xfId="9" applyFont="1" applyFill="1" applyBorder="1" applyAlignment="1">
      <alignment vertical="center"/>
    </xf>
    <xf numFmtId="43" fontId="27" fillId="0" borderId="0" xfId="29" applyFont="1" applyFill="1" applyBorder="1" applyAlignment="1">
      <alignment vertical="center"/>
    </xf>
    <xf numFmtId="182" fontId="27" fillId="0" borderId="0" xfId="29" applyNumberFormat="1" applyFont="1" applyFill="1" applyBorder="1" applyAlignment="1"/>
    <xf numFmtId="43" fontId="27" fillId="0" borderId="1" xfId="29" applyFont="1" applyFill="1" applyBorder="1" applyAlignment="1">
      <alignment horizontal="center" vertical="center"/>
    </xf>
    <xf numFmtId="182" fontId="27" fillId="0" borderId="1" xfId="29" applyNumberFormat="1" applyFont="1" applyFill="1" applyBorder="1" applyAlignment="1">
      <alignment horizontal="center" vertical="center"/>
    </xf>
    <xf numFmtId="43" fontId="27" fillId="0" borderId="2" xfId="29" applyFont="1" applyFill="1" applyBorder="1" applyAlignment="1">
      <alignment horizontal="center" vertical="center"/>
    </xf>
    <xf numFmtId="182" fontId="27" fillId="0" borderId="9" xfId="29" applyNumberFormat="1" applyFont="1" applyFill="1" applyBorder="1" applyAlignment="1">
      <alignment horizontal="center" vertical="center" wrapText="1"/>
    </xf>
    <xf numFmtId="43" fontId="3" fillId="0" borderId="2" xfId="29" applyFont="1" applyFill="1" applyBorder="1" applyAlignment="1">
      <alignment vertical="center"/>
    </xf>
    <xf numFmtId="182" fontId="3" fillId="0" borderId="2" xfId="29" applyNumberFormat="1" applyFont="1" applyFill="1" applyBorder="1"/>
    <xf numFmtId="43" fontId="27" fillId="0" borderId="2" xfId="29" applyFont="1" applyFill="1" applyBorder="1" applyAlignment="1">
      <alignment vertical="center"/>
    </xf>
    <xf numFmtId="182" fontId="3" fillId="0" borderId="2" xfId="29" applyNumberFormat="1" applyFont="1" applyFill="1" applyBorder="1" applyAlignment="1">
      <alignment vertical="center"/>
    </xf>
    <xf numFmtId="182" fontId="3" fillId="0" borderId="4" xfId="29" applyNumberFormat="1" applyFont="1" applyFill="1" applyBorder="1" applyAlignment="1">
      <alignment vertical="center"/>
    </xf>
    <xf numFmtId="182" fontId="21" fillId="0" borderId="2" xfId="29" applyNumberFormat="1" applyFont="1" applyFill="1" applyBorder="1" applyAlignment="1">
      <alignment horizontal="right" vertical="center"/>
    </xf>
    <xf numFmtId="182" fontId="37" fillId="0" borderId="2" xfId="29" applyNumberFormat="1" applyFont="1" applyFill="1" applyBorder="1" applyAlignment="1">
      <alignment vertical="center"/>
    </xf>
    <xf numFmtId="182" fontId="27" fillId="7" borderId="4" xfId="29" applyNumberFormat="1" applyFont="1" applyFill="1" applyBorder="1" applyAlignment="1">
      <alignment vertical="center"/>
    </xf>
    <xf numFmtId="182" fontId="27" fillId="0" borderId="2" xfId="29" applyNumberFormat="1" applyFont="1" applyFill="1" applyBorder="1" applyAlignment="1">
      <alignment vertical="center"/>
    </xf>
    <xf numFmtId="182" fontId="37" fillId="0" borderId="10" xfId="29" applyNumberFormat="1" applyFont="1" applyFill="1" applyBorder="1" applyAlignment="1">
      <alignment vertical="center"/>
    </xf>
    <xf numFmtId="182" fontId="27" fillId="0" borderId="10" xfId="29" applyNumberFormat="1" applyFont="1" applyFill="1" applyBorder="1" applyAlignment="1">
      <alignment vertical="center"/>
    </xf>
    <xf numFmtId="182" fontId="27" fillId="9" borderId="2" xfId="29" applyNumberFormat="1" applyFont="1" applyFill="1" applyBorder="1" applyAlignment="1">
      <alignment vertical="center"/>
    </xf>
    <xf numFmtId="182" fontId="27" fillId="9" borderId="18" xfId="29" applyNumberFormat="1" applyFont="1" applyFill="1" applyBorder="1" applyAlignment="1">
      <alignment vertical="center"/>
    </xf>
    <xf numFmtId="182" fontId="3" fillId="0" borderId="1" xfId="29" applyNumberFormat="1" applyFont="1" applyFill="1" applyBorder="1"/>
    <xf numFmtId="182" fontId="3" fillId="0" borderId="14" xfId="29" applyNumberFormat="1" applyFont="1" applyFill="1" applyBorder="1"/>
    <xf numFmtId="182" fontId="3" fillId="0" borderId="22" xfId="29" applyNumberFormat="1" applyFont="1" applyFill="1" applyBorder="1"/>
    <xf numFmtId="182" fontId="27" fillId="0" borderId="4" xfId="29" applyNumberFormat="1" applyFont="1" applyFill="1" applyBorder="1" applyAlignment="1">
      <alignment vertical="center"/>
    </xf>
    <xf numFmtId="182" fontId="3" fillId="0" borderId="16" xfId="29" applyNumberFormat="1" applyFont="1" applyFill="1" applyBorder="1"/>
    <xf numFmtId="182" fontId="27" fillId="0" borderId="16" xfId="29" applyNumberFormat="1" applyFont="1" applyFill="1" applyBorder="1" applyAlignment="1">
      <alignment vertical="center"/>
    </xf>
    <xf numFmtId="182" fontId="54" fillId="0" borderId="2" xfId="29" applyNumberFormat="1" applyFont="1" applyFill="1" applyBorder="1" applyAlignment="1">
      <alignment horizontal="right" vertical="center"/>
    </xf>
    <xf numFmtId="182" fontId="49" fillId="0" borderId="2" xfId="29" applyNumberFormat="1" applyFont="1" applyFill="1" applyBorder="1" applyAlignment="1">
      <alignment vertical="center"/>
    </xf>
    <xf numFmtId="182" fontId="27" fillId="9" borderId="10" xfId="29" applyNumberFormat="1" applyFont="1" applyFill="1" applyBorder="1" applyAlignment="1">
      <alignment vertical="center"/>
    </xf>
    <xf numFmtId="182" fontId="27" fillId="9" borderId="1" xfId="29" applyNumberFormat="1" applyFont="1" applyFill="1" applyBorder="1" applyAlignment="1">
      <alignment vertical="center"/>
    </xf>
    <xf numFmtId="182" fontId="27" fillId="9" borderId="12" xfId="29" applyNumberFormat="1" applyFont="1" applyFill="1" applyBorder="1" applyAlignment="1">
      <alignment vertical="center"/>
    </xf>
    <xf numFmtId="182" fontId="3" fillId="0" borderId="9" xfId="29" applyNumberFormat="1" applyFont="1" applyFill="1" applyBorder="1" applyAlignment="1">
      <alignment vertical="center"/>
    </xf>
    <xf numFmtId="182" fontId="27" fillId="0" borderId="16" xfId="29" applyNumberFormat="1" applyFont="1" applyFill="1" applyBorder="1"/>
    <xf numFmtId="182" fontId="37" fillId="0" borderId="9" xfId="29" applyNumberFormat="1" applyFont="1" applyFill="1" applyBorder="1" applyAlignment="1">
      <alignment vertical="center"/>
    </xf>
    <xf numFmtId="182" fontId="27" fillId="0" borderId="9" xfId="29" applyNumberFormat="1" applyFont="1" applyFill="1" applyBorder="1" applyAlignment="1">
      <alignment vertical="center"/>
    </xf>
    <xf numFmtId="182" fontId="27" fillId="0" borderId="14" xfId="29" applyNumberFormat="1" applyFont="1" applyFill="1" applyBorder="1" applyAlignment="1">
      <alignment vertical="center"/>
    </xf>
    <xf numFmtId="182" fontId="27" fillId="9" borderId="19" xfId="29" applyNumberFormat="1" applyFont="1" applyFill="1" applyBorder="1" applyAlignment="1">
      <alignment vertical="center"/>
    </xf>
    <xf numFmtId="182" fontId="55" fillId="0" borderId="2" xfId="29" applyNumberFormat="1" applyFont="1" applyFill="1" applyBorder="1" applyAlignment="1">
      <alignment horizontal="left" vertical="center" wrapText="1"/>
    </xf>
    <xf numFmtId="182" fontId="55" fillId="0" borderId="2" xfId="29" applyNumberFormat="1" applyFont="1" applyFill="1" applyBorder="1" applyAlignment="1">
      <alignment vertical="center" wrapText="1"/>
    </xf>
    <xf numFmtId="182" fontId="49" fillId="0" borderId="2" xfId="29" applyNumberFormat="1" applyFont="1" applyBorder="1" applyAlignment="1">
      <alignment vertical="center"/>
    </xf>
    <xf numFmtId="182" fontId="3" fillId="0" borderId="8" xfId="29" applyNumberFormat="1" applyFont="1" applyFill="1" applyBorder="1"/>
    <xf numFmtId="182" fontId="3" fillId="0" borderId="2" xfId="29" applyNumberFormat="1" applyFont="1" applyFill="1" applyBorder="1" applyAlignment="1">
      <alignment horizontal="left" vertical="center" wrapText="1"/>
    </xf>
    <xf numFmtId="182" fontId="54" fillId="0" borderId="2" xfId="29" applyNumberFormat="1" applyFont="1" applyFill="1" applyBorder="1" applyAlignment="1">
      <alignment horizontal="left" vertical="center"/>
    </xf>
    <xf numFmtId="182" fontId="37" fillId="9" borderId="2" xfId="29" applyNumberFormat="1" applyFont="1" applyFill="1" applyBorder="1" applyAlignment="1">
      <alignment vertical="center"/>
    </xf>
    <xf numFmtId="182" fontId="55" fillId="0" borderId="2" xfId="29" quotePrefix="1" applyNumberFormat="1" applyFont="1" applyFill="1" applyBorder="1" applyAlignment="1">
      <alignment vertical="center"/>
    </xf>
    <xf numFmtId="182" fontId="3" fillId="9" borderId="2" xfId="29" applyNumberFormat="1" applyFont="1" applyFill="1" applyBorder="1" applyAlignment="1">
      <alignment vertical="center"/>
    </xf>
    <xf numFmtId="182" fontId="3" fillId="9" borderId="18" xfId="29" applyNumberFormat="1" applyFont="1" applyFill="1" applyBorder="1" applyAlignment="1">
      <alignment vertical="center"/>
    </xf>
    <xf numFmtId="182" fontId="3" fillId="9" borderId="19" xfId="29" applyNumberFormat="1" applyFont="1" applyFill="1" applyBorder="1" applyAlignment="1">
      <alignment vertical="center"/>
    </xf>
    <xf numFmtId="182" fontId="55" fillId="0" borderId="2" xfId="29" applyNumberFormat="1" applyFont="1" applyFill="1" applyBorder="1" applyAlignment="1">
      <alignment vertical="center"/>
    </xf>
    <xf numFmtId="182" fontId="55" fillId="11" borderId="2" xfId="29" applyNumberFormat="1" applyFont="1" applyFill="1" applyBorder="1" applyAlignment="1">
      <alignment vertical="center" wrapText="1"/>
    </xf>
    <xf numFmtId="182" fontId="3" fillId="11" borderId="2" xfId="29" applyNumberFormat="1" applyFont="1" applyFill="1" applyBorder="1" applyAlignment="1">
      <alignment vertical="center"/>
    </xf>
    <xf numFmtId="182" fontId="37" fillId="9" borderId="10" xfId="29" applyNumberFormat="1" applyFont="1" applyFill="1" applyBorder="1" applyAlignment="1">
      <alignment vertical="center"/>
    </xf>
    <xf numFmtId="182" fontId="55" fillId="0" borderId="0" xfId="29" applyNumberFormat="1" applyFont="1" applyFill="1" applyBorder="1" applyAlignment="1">
      <alignment vertical="center" wrapText="1"/>
    </xf>
    <xf numFmtId="182" fontId="3" fillId="0" borderId="0" xfId="29" applyNumberFormat="1" applyFont="1" applyFill="1" applyBorder="1" applyAlignment="1">
      <alignment vertical="center"/>
    </xf>
    <xf numFmtId="182" fontId="55" fillId="12" borderId="2" xfId="29" applyNumberFormat="1" applyFont="1" applyFill="1" applyBorder="1" applyAlignment="1">
      <alignment horizontal="left" vertical="center"/>
    </xf>
    <xf numFmtId="182" fontId="3" fillId="12" borderId="8" xfId="29" applyNumberFormat="1" applyFont="1" applyFill="1" applyBorder="1" applyAlignment="1">
      <alignment vertical="center"/>
    </xf>
    <xf numFmtId="182" fontId="55" fillId="0" borderId="2" xfId="29" applyNumberFormat="1" applyFont="1" applyFill="1" applyBorder="1" applyAlignment="1">
      <alignment horizontal="left" vertical="center"/>
    </xf>
    <xf numFmtId="182" fontId="56" fillId="0" borderId="2" xfId="29" applyNumberFormat="1" applyFont="1" applyFill="1" applyBorder="1" applyAlignment="1">
      <alignment horizontal="left" vertical="center"/>
    </xf>
    <xf numFmtId="182" fontId="3" fillId="0" borderId="16" xfId="29" applyNumberFormat="1" applyFont="1" applyFill="1" applyBorder="1" applyAlignment="1">
      <alignment vertical="center"/>
    </xf>
    <xf numFmtId="182" fontId="3" fillId="0" borderId="10" xfId="29" applyNumberFormat="1" applyFont="1" applyFill="1" applyBorder="1" applyAlignment="1">
      <alignment vertical="center"/>
    </xf>
    <xf numFmtId="182" fontId="0" fillId="0" borderId="2" xfId="29" applyNumberFormat="1" applyFont="1" applyBorder="1" applyAlignment="1">
      <alignment vertical="center"/>
    </xf>
    <xf numFmtId="182" fontId="3" fillId="5" borderId="2" xfId="29" applyNumberFormat="1" applyFont="1" applyFill="1" applyBorder="1" applyAlignment="1">
      <alignment vertical="center"/>
    </xf>
    <xf numFmtId="182" fontId="56" fillId="0" borderId="2" xfId="29" applyNumberFormat="1" applyFont="1" applyFill="1" applyBorder="1" applyAlignment="1">
      <alignment vertical="center"/>
    </xf>
    <xf numFmtId="182" fontId="56" fillId="0" borderId="9" xfId="29" applyNumberFormat="1" applyFont="1" applyFill="1" applyBorder="1" applyAlignment="1">
      <alignment horizontal="left" vertical="center"/>
    </xf>
    <xf numFmtId="182" fontId="49" fillId="2" borderId="2" xfId="29" applyNumberFormat="1" applyFont="1" applyFill="1" applyBorder="1" applyAlignment="1">
      <alignment vertical="center"/>
    </xf>
    <xf numFmtId="182" fontId="56" fillId="0" borderId="2" xfId="29" applyNumberFormat="1" applyFont="1" applyFill="1" applyBorder="1" applyAlignment="1">
      <alignment vertical="center" wrapText="1"/>
    </xf>
    <xf numFmtId="182" fontId="3" fillId="0" borderId="2" xfId="29" applyNumberFormat="1" applyFont="1" applyFill="1" applyBorder="1" applyAlignment="1">
      <alignment vertical="center" wrapText="1"/>
    </xf>
    <xf numFmtId="182" fontId="56" fillId="9" borderId="2" xfId="29" applyNumberFormat="1" applyFont="1" applyFill="1" applyBorder="1" applyAlignment="1">
      <alignment horizontal="left" vertical="center"/>
    </xf>
    <xf numFmtId="182" fontId="55" fillId="0" borderId="9" xfId="29" applyNumberFormat="1" applyFont="1" applyFill="1" applyBorder="1" applyAlignment="1">
      <alignment horizontal="left" vertical="center"/>
    </xf>
    <xf numFmtId="182" fontId="55" fillId="12" borderId="2" xfId="29" applyNumberFormat="1" applyFont="1" applyFill="1" applyBorder="1" applyAlignment="1">
      <alignment vertical="center" wrapText="1"/>
    </xf>
    <xf numFmtId="182" fontId="3" fillId="12" borderId="2" xfId="29" applyNumberFormat="1" applyFont="1" applyFill="1" applyBorder="1" applyAlignment="1">
      <alignment vertical="center"/>
    </xf>
    <xf numFmtId="182" fontId="55" fillId="9" borderId="2" xfId="29" applyNumberFormat="1" applyFont="1" applyFill="1" applyBorder="1" applyAlignment="1">
      <alignment vertical="center" wrapText="1"/>
    </xf>
    <xf numFmtId="189" fontId="55" fillId="0" borderId="2" xfId="29" quotePrefix="1" applyNumberFormat="1" applyFont="1" applyFill="1" applyBorder="1" applyAlignment="1">
      <alignment vertical="center"/>
    </xf>
    <xf numFmtId="189" fontId="55" fillId="0" borderId="2" xfId="29" applyNumberFormat="1" applyFont="1" applyFill="1" applyBorder="1" applyAlignment="1">
      <alignment vertical="center"/>
    </xf>
    <xf numFmtId="182" fontId="49" fillId="0" borderId="2" xfId="29" applyNumberFormat="1" applyFont="1" applyFill="1" applyBorder="1" applyAlignment="1">
      <alignment horizontal="left" vertical="center"/>
    </xf>
    <xf numFmtId="182" fontId="56" fillId="9" borderId="10" xfId="29" applyNumberFormat="1" applyFont="1" applyFill="1" applyBorder="1" applyAlignment="1">
      <alignment horizontal="left" vertical="center"/>
    </xf>
    <xf numFmtId="182" fontId="20" fillId="0" borderId="16" xfId="29" applyNumberFormat="1" applyFont="1" applyFill="1" applyBorder="1"/>
    <xf numFmtId="182" fontId="55" fillId="0" borderId="9" xfId="29" applyNumberFormat="1" applyFont="1" applyFill="1" applyBorder="1" applyAlignment="1">
      <alignment vertical="center"/>
    </xf>
    <xf numFmtId="182" fontId="3" fillId="0" borderId="14" xfId="29" applyNumberFormat="1" applyFont="1" applyFill="1" applyBorder="1" applyAlignment="1">
      <alignment vertical="center"/>
    </xf>
    <xf numFmtId="182" fontId="49" fillId="0" borderId="2" xfId="29" applyNumberFormat="1" applyFont="1" applyFill="1" applyBorder="1" applyAlignment="1">
      <alignment horizontal="left" vertical="center" wrapText="1"/>
    </xf>
    <xf numFmtId="182" fontId="55" fillId="12" borderId="2" xfId="29" applyNumberFormat="1" applyFont="1" applyFill="1" applyBorder="1" applyAlignment="1">
      <alignment vertical="center"/>
    </xf>
    <xf numFmtId="182" fontId="3" fillId="12" borderId="9" xfId="29" applyNumberFormat="1" applyFont="1" applyFill="1" applyBorder="1" applyAlignment="1">
      <alignment vertical="center"/>
    </xf>
    <xf numFmtId="182" fontId="3" fillId="9" borderId="16" xfId="29" applyNumberFormat="1" applyFont="1" applyFill="1" applyBorder="1" applyAlignment="1">
      <alignment vertical="center"/>
    </xf>
    <xf numFmtId="182" fontId="51" fillId="0" borderId="2" xfId="29" applyNumberFormat="1" applyFont="1" applyFill="1" applyBorder="1" applyAlignment="1">
      <alignment vertical="center"/>
    </xf>
    <xf numFmtId="182" fontId="55" fillId="0" borderId="9" xfId="29" applyNumberFormat="1" applyFont="1" applyFill="1" applyBorder="1" applyAlignment="1">
      <alignment vertical="center" wrapText="1"/>
    </xf>
    <xf numFmtId="182" fontId="3" fillId="0" borderId="16" xfId="29" quotePrefix="1" applyNumberFormat="1" applyFont="1" applyFill="1" applyBorder="1"/>
    <xf numFmtId="182" fontId="3" fillId="0" borderId="0" xfId="29" applyNumberFormat="1" applyFont="1" applyFill="1" applyBorder="1"/>
    <xf numFmtId="182" fontId="3" fillId="0" borderId="2" xfId="29" quotePrefix="1" applyNumberFormat="1" applyFont="1" applyFill="1" applyBorder="1" applyAlignment="1">
      <alignment vertical="center"/>
    </xf>
    <xf numFmtId="182" fontId="27" fillId="0" borderId="1" xfId="29" applyNumberFormat="1" applyFont="1" applyFill="1" applyBorder="1" applyAlignment="1">
      <alignment vertical="center"/>
    </xf>
    <xf numFmtId="182" fontId="27" fillId="0" borderId="0" xfId="29" applyNumberFormat="1" applyFont="1" applyFill="1" applyBorder="1" applyAlignment="1">
      <alignment vertical="center"/>
    </xf>
    <xf numFmtId="182" fontId="56" fillId="0" borderId="9" xfId="29" applyNumberFormat="1" applyFont="1" applyFill="1" applyBorder="1" applyAlignment="1">
      <alignment vertical="center"/>
    </xf>
    <xf numFmtId="182" fontId="58" fillId="0" borderId="2" xfId="29" applyNumberFormat="1" applyFont="1" applyFill="1" applyBorder="1" applyAlignment="1">
      <alignment vertical="center"/>
    </xf>
    <xf numFmtId="182" fontId="56" fillId="0" borderId="9" xfId="29" applyNumberFormat="1" applyFont="1" applyFill="1" applyBorder="1" applyAlignment="1">
      <alignment vertical="center" wrapText="1"/>
    </xf>
    <xf numFmtId="182" fontId="56" fillId="0" borderId="9" xfId="29" applyNumberFormat="1" applyFont="1" applyFill="1" applyBorder="1" applyAlignment="1">
      <alignment horizontal="left" vertical="center" wrapText="1"/>
    </xf>
    <xf numFmtId="195" fontId="27" fillId="0" borderId="9" xfId="29" applyNumberFormat="1" applyFont="1" applyFill="1" applyBorder="1" applyAlignment="1">
      <alignment vertical="center"/>
    </xf>
    <xf numFmtId="182" fontId="0" fillId="0" borderId="2" xfId="29" applyNumberFormat="1" applyFont="1" applyFill="1" applyBorder="1" applyAlignment="1">
      <alignment vertical="center"/>
    </xf>
    <xf numFmtId="182" fontId="56" fillId="0" borderId="4" xfId="29" applyNumberFormat="1" applyFont="1" applyFill="1" applyBorder="1" applyAlignment="1">
      <alignment horizontal="left" vertical="center" wrapText="1"/>
    </xf>
    <xf numFmtId="182" fontId="27" fillId="0" borderId="24" xfId="29" applyNumberFormat="1" applyFont="1" applyFill="1" applyBorder="1" applyAlignment="1">
      <alignment vertical="center"/>
    </xf>
    <xf numFmtId="182" fontId="27" fillId="9" borderId="2" xfId="29" applyNumberFormat="1" applyFont="1" applyFill="1" applyBorder="1" applyAlignment="1">
      <alignment vertical="center" wrapText="1"/>
    </xf>
    <xf numFmtId="182" fontId="27" fillId="9" borderId="33" xfId="29" applyNumberFormat="1" applyFont="1" applyFill="1" applyBorder="1" applyAlignment="1">
      <alignment vertical="center"/>
    </xf>
    <xf numFmtId="182" fontId="55" fillId="9" borderId="2" xfId="29" applyNumberFormat="1" applyFont="1" applyFill="1" applyBorder="1" applyAlignment="1">
      <alignment vertical="center"/>
    </xf>
    <xf numFmtId="182" fontId="27" fillId="0" borderId="0" xfId="29" applyNumberFormat="1" applyFont="1" applyFill="1" applyBorder="1"/>
    <xf numFmtId="182" fontId="56" fillId="9" borderId="2" xfId="29" applyNumberFormat="1" applyFont="1" applyFill="1" applyBorder="1" applyAlignment="1">
      <alignment vertical="center"/>
    </xf>
    <xf numFmtId="182" fontId="3" fillId="0" borderId="1" xfId="29" applyNumberFormat="1" applyFont="1" applyFill="1" applyBorder="1" applyAlignment="1">
      <alignment vertical="center"/>
    </xf>
    <xf numFmtId="182" fontId="56" fillId="9" borderId="10" xfId="29" applyNumberFormat="1" applyFont="1" applyFill="1" applyBorder="1" applyAlignment="1">
      <alignment vertical="center"/>
    </xf>
    <xf numFmtId="182" fontId="3" fillId="9" borderId="1" xfId="29" applyNumberFormat="1" applyFont="1" applyFill="1" applyBorder="1" applyAlignment="1">
      <alignment vertical="center"/>
    </xf>
    <xf numFmtId="182" fontId="3" fillId="10" borderId="2" xfId="29" applyNumberFormat="1" applyFont="1" applyFill="1" applyBorder="1" applyAlignment="1">
      <alignment vertical="center"/>
    </xf>
    <xf numFmtId="182" fontId="3" fillId="9" borderId="10" xfId="29" applyNumberFormat="1" applyFont="1" applyFill="1" applyBorder="1" applyAlignment="1">
      <alignment vertical="center"/>
    </xf>
    <xf numFmtId="180" fontId="55" fillId="7" borderId="2" xfId="11" applyNumberFormat="1" applyFont="1" applyFill="1" applyBorder="1" applyAlignment="1">
      <alignment horizontal="left" vertical="center" wrapText="1"/>
    </xf>
    <xf numFmtId="182" fontId="55" fillId="7" borderId="2" xfId="29" applyNumberFormat="1" applyFont="1" applyFill="1" applyBorder="1" applyAlignment="1">
      <alignment horizontal="left" vertical="center" wrapText="1"/>
    </xf>
    <xf numFmtId="182" fontId="0" fillId="0" borderId="0" xfId="29" applyNumberFormat="1" applyFont="1"/>
    <xf numFmtId="182" fontId="56" fillId="0" borderId="0" xfId="29" applyNumberFormat="1" applyFont="1" applyFill="1" applyBorder="1" applyAlignment="1">
      <alignment horizontal="left" vertical="center"/>
    </xf>
    <xf numFmtId="182" fontId="3" fillId="0" borderId="0" xfId="29" applyNumberFormat="1" applyFont="1" applyFill="1" applyBorder="1" applyAlignment="1"/>
    <xf numFmtId="182" fontId="3" fillId="0" borderId="7" xfId="29" applyNumberFormat="1" applyFont="1" applyFill="1" applyBorder="1"/>
    <xf numFmtId="182" fontId="55" fillId="0" borderId="10" xfId="29" applyNumberFormat="1" applyFont="1" applyFill="1" applyBorder="1" applyAlignment="1">
      <alignment vertical="center" wrapText="1"/>
    </xf>
    <xf numFmtId="182" fontId="56" fillId="0" borderId="0" xfId="29" applyNumberFormat="1" applyFont="1" applyFill="1" applyBorder="1" applyAlignment="1">
      <alignment vertical="center" wrapText="1"/>
    </xf>
    <xf numFmtId="182" fontId="55" fillId="9" borderId="2" xfId="29" applyNumberFormat="1" applyFont="1" applyFill="1" applyBorder="1" applyAlignment="1">
      <alignment horizontal="left" vertical="center"/>
    </xf>
    <xf numFmtId="2" fontId="3" fillId="0" borderId="0" xfId="29" applyNumberFormat="1" applyFont="1" applyFill="1" applyBorder="1" applyAlignment="1">
      <alignment vertical="center"/>
    </xf>
    <xf numFmtId="182" fontId="49" fillId="0" borderId="0" xfId="29" applyNumberFormat="1" applyFont="1" applyFill="1" applyBorder="1" applyAlignment="1">
      <alignment vertical="center"/>
    </xf>
    <xf numFmtId="182" fontId="49" fillId="0" borderId="0" xfId="29" applyNumberFormat="1" applyFont="1" applyFill="1" applyBorder="1"/>
    <xf numFmtId="43" fontId="3" fillId="0" borderId="0" xfId="29" applyFont="1" applyFill="1" applyBorder="1" applyAlignment="1">
      <alignment vertical="center"/>
    </xf>
    <xf numFmtId="1" fontId="3" fillId="7" borderId="0" xfId="0" applyNumberFormat="1" applyFont="1" applyFill="1" applyAlignment="1">
      <alignment horizontal="right" vertical="center"/>
    </xf>
    <xf numFmtId="170" fontId="3" fillId="7" borderId="0" xfId="0" applyFont="1" applyFill="1" applyAlignment="1">
      <alignment vertical="center"/>
    </xf>
    <xf numFmtId="182" fontId="3" fillId="7" borderId="0" xfId="29" applyNumberFormat="1" applyFont="1" applyFill="1" applyBorder="1" applyAlignment="1">
      <alignment vertical="center"/>
    </xf>
    <xf numFmtId="2" fontId="3" fillId="7" borderId="0" xfId="29" applyNumberFormat="1" applyFont="1" applyFill="1" applyBorder="1" applyAlignment="1">
      <alignment vertical="center"/>
    </xf>
    <xf numFmtId="182" fontId="3" fillId="7" borderId="0" xfId="29" applyNumberFormat="1" applyFont="1" applyFill="1" applyBorder="1"/>
    <xf numFmtId="43" fontId="27" fillId="0" borderId="1" xfId="29" applyFont="1" applyFill="1" applyBorder="1" applyAlignment="1">
      <alignment horizontal="center" vertical="center" wrapText="1"/>
    </xf>
    <xf numFmtId="182" fontId="0" fillId="0" borderId="0" xfId="29" applyNumberFormat="1" applyFont="1" applyAlignment="1">
      <alignment vertical="center"/>
    </xf>
    <xf numFmtId="182" fontId="0" fillId="0" borderId="0" xfId="29" applyNumberFormat="1" applyFont="1" applyFill="1" applyAlignment="1">
      <alignment vertical="center"/>
    </xf>
    <xf numFmtId="182" fontId="3" fillId="0" borderId="24" xfId="29" applyNumberFormat="1" applyFont="1" applyFill="1" applyBorder="1"/>
    <xf numFmtId="182" fontId="3" fillId="0" borderId="24" xfId="29" applyNumberFormat="1" applyFont="1" applyFill="1" applyBorder="1" applyAlignment="1">
      <alignment vertical="center"/>
    </xf>
    <xf numFmtId="43" fontId="3" fillId="0" borderId="24" xfId="29" applyFont="1" applyFill="1" applyBorder="1"/>
    <xf numFmtId="182" fontId="55" fillId="0" borderId="0" xfId="29" applyNumberFormat="1" applyFont="1" applyFill="1" applyBorder="1" applyAlignment="1">
      <alignment horizontal="left" vertical="center"/>
    </xf>
    <xf numFmtId="182" fontId="3" fillId="0" borderId="0" xfId="29" applyNumberFormat="1" applyFont="1" applyFill="1" applyBorder="1" applyAlignment="1">
      <alignment vertical="center" wrapText="1"/>
    </xf>
    <xf numFmtId="182" fontId="25" fillId="0" borderId="0" xfId="29" applyNumberFormat="1" applyFont="1" applyFill="1" applyBorder="1" applyAlignment="1">
      <alignment vertical="center"/>
    </xf>
    <xf numFmtId="182" fontId="3" fillId="6" borderId="0" xfId="29" applyNumberFormat="1" applyFont="1" applyFill="1" applyBorder="1"/>
    <xf numFmtId="0" fontId="27" fillId="6" borderId="1" xfId="29" applyNumberFormat="1" applyFont="1" applyFill="1" applyBorder="1"/>
    <xf numFmtId="182" fontId="3" fillId="6" borderId="13" xfId="29" applyNumberFormat="1" applyFont="1" applyFill="1" applyBorder="1"/>
    <xf numFmtId="182" fontId="3" fillId="6" borderId="4" xfId="29" applyNumberFormat="1" applyFont="1" applyFill="1" applyBorder="1" applyAlignment="1">
      <alignment wrapText="1"/>
    </xf>
    <xf numFmtId="182" fontId="3" fillId="6" borderId="4" xfId="29" applyNumberFormat="1" applyFont="1" applyFill="1" applyBorder="1"/>
    <xf numFmtId="182" fontId="3" fillId="6" borderId="7" xfId="29" applyNumberFormat="1" applyFont="1" applyFill="1" applyBorder="1"/>
    <xf numFmtId="182" fontId="3" fillId="6" borderId="11" xfId="29" applyNumberFormat="1" applyFont="1" applyFill="1" applyBorder="1"/>
    <xf numFmtId="0" fontId="3" fillId="6" borderId="13" xfId="29" applyNumberFormat="1" applyFont="1" applyFill="1" applyBorder="1"/>
    <xf numFmtId="182" fontId="27" fillId="6" borderId="7" xfId="29" applyNumberFormat="1" applyFont="1" applyFill="1" applyBorder="1"/>
    <xf numFmtId="182" fontId="27" fillId="6" borderId="0" xfId="29" applyNumberFormat="1" applyFont="1" applyFill="1" applyBorder="1"/>
    <xf numFmtId="182" fontId="3" fillId="0" borderId="0" xfId="29" applyNumberFormat="1" applyFont="1" applyFill="1" applyBorder="1" applyAlignment="1">
      <alignment horizontal="right"/>
    </xf>
    <xf numFmtId="182" fontId="3" fillId="6" borderId="13" xfId="29" applyNumberFormat="1" applyFont="1" applyFill="1" applyBorder="1" applyAlignment="1">
      <alignment wrapText="1"/>
    </xf>
    <xf numFmtId="182" fontId="3" fillId="10" borderId="0" xfId="29" applyNumberFormat="1" applyFont="1" applyFill="1" applyBorder="1" applyAlignment="1">
      <alignment horizontal="right"/>
    </xf>
    <xf numFmtId="182" fontId="55" fillId="6" borderId="4" xfId="29" applyNumberFormat="1" applyFont="1" applyFill="1" applyBorder="1" applyAlignment="1">
      <alignment horizontal="left" vertical="justify" wrapText="1"/>
    </xf>
    <xf numFmtId="182" fontId="55" fillId="6" borderId="4" xfId="29" applyNumberFormat="1" applyFont="1" applyFill="1" applyBorder="1" applyAlignment="1">
      <alignment wrapText="1"/>
    </xf>
    <xf numFmtId="182" fontId="0" fillId="6" borderId="4" xfId="29" applyNumberFormat="1" applyFont="1" applyFill="1" applyBorder="1"/>
    <xf numFmtId="182" fontId="37" fillId="6" borderId="4" xfId="29" applyNumberFormat="1" applyFont="1" applyFill="1" applyBorder="1"/>
    <xf numFmtId="182" fontId="3" fillId="6" borderId="4" xfId="29" applyNumberFormat="1" applyFont="1" applyFill="1" applyBorder="1" applyAlignment="1">
      <alignment horizontal="left" wrapText="1"/>
    </xf>
    <xf numFmtId="182" fontId="54" fillId="10" borderId="0" xfId="29" applyNumberFormat="1" applyFont="1" applyFill="1" applyBorder="1" applyAlignment="1">
      <alignment horizontal="right"/>
    </xf>
    <xf numFmtId="182" fontId="54" fillId="6" borderId="4" xfId="29" applyNumberFormat="1" applyFont="1" applyFill="1" applyBorder="1" applyAlignment="1">
      <alignment horizontal="left"/>
    </xf>
    <xf numFmtId="182" fontId="37" fillId="6" borderId="11" xfId="29" applyNumberFormat="1" applyFont="1" applyFill="1" applyBorder="1"/>
    <xf numFmtId="182" fontId="3" fillId="0" borderId="0" xfId="29" applyNumberFormat="1" applyFont="1" applyFill="1" applyBorder="1" applyAlignment="1">
      <alignment horizontal="left" wrapText="1"/>
    </xf>
    <xf numFmtId="182" fontId="37" fillId="0" borderId="0" xfId="29" applyNumberFormat="1" applyFont="1" applyFill="1" applyBorder="1"/>
    <xf numFmtId="182" fontId="3" fillId="9" borderId="0" xfId="29" applyNumberFormat="1" applyFont="1" applyFill="1" applyBorder="1" applyAlignment="1">
      <alignment horizontal="right"/>
    </xf>
    <xf numFmtId="43" fontId="18" fillId="0" borderId="1" xfId="29" applyFont="1" applyBorder="1" applyAlignment="1">
      <alignment horizontal="center" vertical="center"/>
    </xf>
    <xf numFmtId="182" fontId="18" fillId="0" borderId="1" xfId="29" applyNumberFormat="1" applyFont="1" applyBorder="1" applyAlignment="1">
      <alignment horizontal="center" vertical="center"/>
    </xf>
    <xf numFmtId="0" fontId="27" fillId="0" borderId="1" xfId="29" applyNumberFormat="1" applyFont="1" applyFill="1" applyBorder="1" applyAlignment="1">
      <alignment vertical="center"/>
    </xf>
    <xf numFmtId="182" fontId="0" fillId="0" borderId="1" xfId="29" applyNumberFormat="1" applyFont="1" applyFill="1" applyBorder="1" applyAlignment="1">
      <alignment vertical="center" wrapText="1"/>
    </xf>
    <xf numFmtId="43" fontId="3" fillId="10" borderId="1" xfId="29" applyFont="1" applyFill="1" applyBorder="1" applyAlignment="1">
      <alignment vertical="center"/>
    </xf>
    <xf numFmtId="43" fontId="3" fillId="0" borderId="1" xfId="29" applyFont="1" applyFill="1" applyBorder="1" applyAlignment="1">
      <alignment vertical="center"/>
    </xf>
    <xf numFmtId="43" fontId="59" fillId="0" borderId="1" xfId="29" applyFont="1" applyFill="1" applyBorder="1" applyAlignment="1">
      <alignment vertical="center"/>
    </xf>
    <xf numFmtId="43" fontId="59" fillId="10" borderId="1" xfId="29" applyFont="1" applyFill="1" applyBorder="1" applyAlignment="1">
      <alignment vertical="center"/>
    </xf>
    <xf numFmtId="43" fontId="59" fillId="0" borderId="11" xfId="29" applyFont="1" applyFill="1" applyBorder="1"/>
    <xf numFmtId="183" fontId="3" fillId="0" borderId="1" xfId="29" applyNumberFormat="1" applyFont="1" applyFill="1" applyBorder="1" applyAlignment="1">
      <alignment vertical="center"/>
    </xf>
    <xf numFmtId="183" fontId="3" fillId="10" borderId="1" xfId="29" applyNumberFormat="1" applyFont="1" applyFill="1" applyBorder="1" applyAlignment="1">
      <alignment vertical="center"/>
    </xf>
    <xf numFmtId="0" fontId="0" fillId="0" borderId="1" xfId="29" applyNumberFormat="1" applyFont="1" applyFill="1" applyBorder="1" applyAlignment="1">
      <alignment vertical="center"/>
    </xf>
    <xf numFmtId="43" fontId="3" fillId="2" borderId="1" xfId="29" applyFont="1" applyFill="1" applyBorder="1" applyAlignment="1">
      <alignment vertical="center"/>
    </xf>
    <xf numFmtId="183" fontId="3" fillId="2" borderId="1" xfId="29" applyNumberFormat="1" applyFont="1" applyFill="1" applyBorder="1" applyAlignment="1">
      <alignment vertical="center"/>
    </xf>
    <xf numFmtId="43" fontId="0" fillId="0" borderId="1" xfId="29" applyFont="1" applyFill="1" applyBorder="1" applyAlignment="1">
      <alignment vertical="center"/>
    </xf>
    <xf numFmtId="43" fontId="18" fillId="0" borderId="1" xfId="29" applyFont="1" applyFill="1" applyBorder="1" applyAlignment="1">
      <alignment vertical="center"/>
    </xf>
    <xf numFmtId="182" fontId="18" fillId="0" borderId="1" xfId="29" applyNumberFormat="1" applyFont="1" applyFill="1" applyBorder="1" applyAlignment="1">
      <alignment vertical="center" wrapText="1"/>
    </xf>
    <xf numFmtId="183" fontId="60" fillId="0" borderId="1" xfId="29" applyNumberFormat="1" applyFont="1" applyFill="1" applyBorder="1" applyAlignment="1">
      <alignment vertical="center"/>
    </xf>
    <xf numFmtId="43" fontId="60" fillId="0" borderId="1" xfId="29" applyFont="1" applyFill="1" applyBorder="1" applyAlignment="1">
      <alignment vertical="center"/>
    </xf>
    <xf numFmtId="0" fontId="0" fillId="7" borderId="1" xfId="29" applyNumberFormat="1" applyFont="1" applyFill="1" applyBorder="1" applyAlignment="1">
      <alignment vertical="center"/>
    </xf>
    <xf numFmtId="182" fontId="0" fillId="7" borderId="1" xfId="29" applyNumberFormat="1" applyFont="1" applyFill="1" applyBorder="1" applyAlignment="1">
      <alignment vertical="center" wrapText="1"/>
    </xf>
    <xf numFmtId="43" fontId="3" fillId="7" borderId="1" xfId="29" applyFont="1" applyFill="1" applyBorder="1" applyAlignment="1">
      <alignment vertical="center"/>
    </xf>
    <xf numFmtId="43" fontId="0" fillId="0" borderId="12" xfId="29" applyFont="1" applyFill="1" applyBorder="1" applyAlignment="1">
      <alignment horizontal="left" vertical="center"/>
    </xf>
    <xf numFmtId="183" fontId="61" fillId="3" borderId="1" xfId="29" applyNumberFormat="1" applyFont="1" applyFill="1" applyBorder="1" applyAlignment="1">
      <alignment vertical="center"/>
    </xf>
    <xf numFmtId="43" fontId="61" fillId="3" borderId="1" xfId="29" applyFont="1" applyFill="1" applyBorder="1" applyAlignment="1">
      <alignment vertical="center"/>
    </xf>
    <xf numFmtId="43" fontId="18" fillId="0" borderId="1" xfId="29" applyFont="1" applyBorder="1" applyAlignment="1">
      <alignment horizontal="center" vertical="center" wrapText="1"/>
    </xf>
    <xf numFmtId="182" fontId="18" fillId="0" borderId="1" xfId="29" applyNumberFormat="1" applyFont="1" applyBorder="1" applyAlignment="1">
      <alignment horizontal="center" vertical="center" wrapText="1"/>
    </xf>
    <xf numFmtId="182" fontId="0" fillId="0" borderId="1" xfId="29" applyNumberFormat="1" applyFont="1" applyBorder="1" applyAlignment="1">
      <alignment vertical="center" wrapText="1"/>
    </xf>
    <xf numFmtId="43" fontId="62" fillId="0" borderId="1" xfId="29" applyFont="1" applyBorder="1" applyAlignment="1">
      <alignment vertical="center"/>
    </xf>
    <xf numFmtId="183" fontId="62" fillId="0" borderId="1" xfId="29" applyNumberFormat="1" applyFont="1" applyBorder="1" applyAlignment="1">
      <alignment vertical="center"/>
    </xf>
    <xf numFmtId="43" fontId="3" fillId="10" borderId="1" xfId="29" applyFont="1" applyFill="1" applyBorder="1" applyAlignment="1">
      <alignment horizontal="center" vertical="center"/>
    </xf>
    <xf numFmtId="43" fontId="0" fillId="0" borderId="12" xfId="29" applyFont="1" applyBorder="1" applyAlignment="1">
      <alignment horizontal="left" vertical="center"/>
    </xf>
    <xf numFmtId="182" fontId="3" fillId="10" borderId="1" xfId="29" applyNumberFormat="1" applyFont="1" applyFill="1" applyBorder="1" applyAlignment="1">
      <alignment horizontal="center" vertical="center"/>
    </xf>
    <xf numFmtId="43" fontId="59" fillId="0" borderId="1" xfId="29" applyFont="1" applyBorder="1" applyAlignment="1">
      <alignment vertical="center"/>
    </xf>
    <xf numFmtId="43" fontId="0" fillId="0" borderId="0" xfId="29" applyFont="1"/>
    <xf numFmtId="182" fontId="0" fillId="0" borderId="0" xfId="29" applyNumberFormat="1" applyFont="1" applyFill="1" applyBorder="1"/>
    <xf numFmtId="0" fontId="0" fillId="0" borderId="12" xfId="29" applyNumberFormat="1" applyFont="1" applyFill="1" applyBorder="1"/>
    <xf numFmtId="43" fontId="0" fillId="0" borderId="12" xfId="29" applyFont="1" applyBorder="1"/>
    <xf numFmtId="43" fontId="27" fillId="0" borderId="8" xfId="29" applyFont="1" applyBorder="1" applyAlignment="1">
      <alignment horizontal="right"/>
    </xf>
    <xf numFmtId="0" fontId="28" fillId="0" borderId="8" xfId="29" applyNumberFormat="1" applyFont="1" applyFill="1" applyBorder="1" applyAlignment="1">
      <alignment horizontal="center" vertical="center"/>
    </xf>
    <xf numFmtId="0" fontId="27" fillId="0" borderId="16" xfId="29" applyNumberFormat="1" applyFont="1" applyFill="1" applyBorder="1"/>
    <xf numFmtId="43" fontId="27" fillId="0" borderId="16" xfId="29" applyFont="1" applyBorder="1"/>
    <xf numFmtId="43" fontId="0" fillId="0" borderId="2" xfId="29" applyFont="1" applyBorder="1"/>
    <xf numFmtId="43" fontId="0" fillId="0" borderId="16" xfId="29" applyFont="1" applyBorder="1"/>
    <xf numFmtId="0" fontId="22" fillId="0" borderId="16" xfId="29" applyNumberFormat="1" applyFont="1" applyFill="1" applyBorder="1"/>
    <xf numFmtId="0" fontId="26" fillId="0" borderId="16" xfId="29" applyNumberFormat="1" applyFont="1" applyFill="1" applyBorder="1" applyAlignment="1">
      <alignment horizontal="left" indent="1"/>
    </xf>
    <xf numFmtId="43" fontId="0" fillId="0" borderId="16" xfId="29" applyFont="1" applyFill="1" applyBorder="1"/>
    <xf numFmtId="43" fontId="0" fillId="0" borderId="2" xfId="29" applyFont="1" applyFill="1" applyBorder="1"/>
    <xf numFmtId="0" fontId="25" fillId="0" borderId="16" xfId="29" applyNumberFormat="1" applyFont="1" applyFill="1" applyBorder="1" applyAlignment="1">
      <alignment horizontal="left" indent="1"/>
    </xf>
    <xf numFmtId="43" fontId="27" fillId="0" borderId="2" xfId="29" applyFont="1" applyBorder="1"/>
    <xf numFmtId="0" fontId="26" fillId="0" borderId="16" xfId="29" applyNumberFormat="1" applyFont="1" applyFill="1" applyBorder="1" applyAlignment="1"/>
    <xf numFmtId="43" fontId="26" fillId="0" borderId="16" xfId="29" applyFont="1" applyFill="1" applyBorder="1" applyAlignment="1"/>
    <xf numFmtId="0" fontId="22" fillId="0" borderId="16" xfId="29" applyNumberFormat="1" applyFont="1" applyFill="1" applyBorder="1" applyAlignment="1">
      <alignment horizontal="left" indent="1"/>
    </xf>
    <xf numFmtId="0" fontId="0" fillId="0" borderId="16" xfId="29" applyNumberFormat="1" applyFont="1" applyFill="1" applyBorder="1"/>
    <xf numFmtId="43" fontId="3" fillId="0" borderId="2" xfId="29" applyFont="1" applyBorder="1" applyAlignment="1">
      <alignment horizontal="right"/>
    </xf>
    <xf numFmtId="43" fontId="3" fillId="0" borderId="16" xfId="29" applyFont="1" applyBorder="1" applyAlignment="1">
      <alignment horizontal="right"/>
    </xf>
    <xf numFmtId="0" fontId="26" fillId="0" borderId="16" xfId="29" applyNumberFormat="1" applyFont="1" applyFill="1" applyBorder="1"/>
    <xf numFmtId="0" fontId="22" fillId="0" borderId="16" xfId="29" applyNumberFormat="1" applyFont="1" applyFill="1" applyBorder="1" applyAlignment="1">
      <alignment wrapText="1"/>
    </xf>
    <xf numFmtId="0" fontId="22" fillId="0" borderId="16" xfId="29" applyNumberFormat="1" applyFont="1" applyFill="1" applyBorder="1" applyAlignment="1"/>
    <xf numFmtId="0" fontId="54" fillId="0" borderId="16" xfId="29" applyNumberFormat="1" applyFont="1" applyFill="1" applyBorder="1" applyAlignment="1">
      <alignment horizontal="left"/>
    </xf>
    <xf numFmtId="0" fontId="3" fillId="0" borderId="16" xfId="29" applyNumberFormat="1" applyFont="1" applyFill="1" applyBorder="1"/>
    <xf numFmtId="0" fontId="3" fillId="0" borderId="16" xfId="29" applyNumberFormat="1" applyFont="1" applyFill="1" applyBorder="1" applyAlignment="1">
      <alignment horizontal="right"/>
    </xf>
    <xf numFmtId="203" fontId="0" fillId="0" borderId="0" xfId="0" applyNumberFormat="1"/>
    <xf numFmtId="43" fontId="0" fillId="0" borderId="0" xfId="29" applyFont="1" applyFill="1" applyBorder="1"/>
    <xf numFmtId="170" fontId="27" fillId="8" borderId="2" xfId="0" applyFont="1" applyFill="1" applyBorder="1"/>
    <xf numFmtId="1" fontId="22" fillId="8" borderId="16" xfId="11" applyNumberFormat="1" applyFont="1" applyFill="1" applyBorder="1"/>
    <xf numFmtId="0" fontId="0" fillId="8" borderId="16" xfId="29" applyNumberFormat="1" applyFont="1" applyFill="1" applyBorder="1"/>
    <xf numFmtId="43" fontId="0" fillId="8" borderId="16" xfId="29" applyFont="1" applyFill="1" applyBorder="1"/>
    <xf numFmtId="170" fontId="27" fillId="7" borderId="2" xfId="0" applyFont="1" applyFill="1" applyBorder="1"/>
    <xf numFmtId="1" fontId="22" fillId="7" borderId="16" xfId="11" applyNumberFormat="1" applyFont="1" applyFill="1" applyBorder="1"/>
    <xf numFmtId="0" fontId="0" fillId="7" borderId="16" xfId="29" applyNumberFormat="1" applyFont="1" applyFill="1" applyBorder="1"/>
    <xf numFmtId="43" fontId="0" fillId="7" borderId="16" xfId="29" applyFont="1" applyFill="1" applyBorder="1"/>
    <xf numFmtId="0" fontId="22" fillId="0" borderId="16" xfId="29" applyNumberFormat="1" applyFont="1" applyFill="1" applyBorder="1" applyAlignment="1">
      <alignment horizontal="left" vertical="center" wrapText="1"/>
    </xf>
    <xf numFmtId="43" fontId="3" fillId="0" borderId="2" xfId="29" applyFont="1" applyBorder="1"/>
    <xf numFmtId="196" fontId="0" fillId="0" borderId="16" xfId="29" applyNumberFormat="1" applyFont="1" applyBorder="1"/>
    <xf numFmtId="43" fontId="27" fillId="0" borderId="16" xfId="29" applyFont="1" applyFill="1" applyBorder="1"/>
    <xf numFmtId="43" fontId="27" fillId="14" borderId="16" xfId="29" applyFont="1" applyFill="1" applyBorder="1"/>
    <xf numFmtId="0" fontId="0" fillId="0" borderId="16" xfId="29" applyNumberFormat="1" applyFont="1" applyBorder="1"/>
    <xf numFmtId="43" fontId="0" fillId="0" borderId="16" xfId="29" applyFont="1" applyBorder="1" applyAlignment="1">
      <alignment horizontal="center" vertical="center"/>
    </xf>
    <xf numFmtId="0" fontId="20" fillId="0" borderId="16" xfId="29" applyNumberFormat="1" applyFont="1" applyFill="1" applyBorder="1"/>
    <xf numFmtId="43" fontId="20" fillId="0" borderId="16" xfId="29" applyFont="1" applyBorder="1"/>
    <xf numFmtId="43" fontId="20" fillId="0" borderId="2" xfId="29" applyFont="1" applyBorder="1"/>
    <xf numFmtId="0" fontId="27" fillId="0" borderId="16" xfId="29" applyNumberFormat="1" applyFont="1" applyFill="1" applyBorder="1" applyAlignment="1">
      <alignment wrapText="1"/>
    </xf>
    <xf numFmtId="43" fontId="3" fillId="0" borderId="16" xfId="29" applyFont="1" applyBorder="1"/>
    <xf numFmtId="182" fontId="0" fillId="0" borderId="16" xfId="29" applyNumberFormat="1" applyFont="1" applyBorder="1"/>
    <xf numFmtId="43" fontId="3" fillId="15" borderId="16" xfId="29" applyFont="1" applyFill="1" applyBorder="1"/>
    <xf numFmtId="0" fontId="29" fillId="0" borderId="16" xfId="29" applyNumberFormat="1" applyFont="1" applyFill="1" applyBorder="1"/>
    <xf numFmtId="183" fontId="0" fillId="0" borderId="0" xfId="29" applyNumberFormat="1" applyFont="1" applyFill="1" applyBorder="1"/>
    <xf numFmtId="0" fontId="27" fillId="0" borderId="2" xfId="29" applyNumberFormat="1" applyFont="1" applyFill="1" applyBorder="1"/>
    <xf numFmtId="43" fontId="0" fillId="0" borderId="8" xfId="29" applyFont="1" applyBorder="1"/>
    <xf numFmtId="43" fontId="0" fillId="0" borderId="10" xfId="29" applyFont="1" applyBorder="1"/>
    <xf numFmtId="0" fontId="0" fillId="0" borderId="0" xfId="29" applyNumberFormat="1" applyFont="1" applyFill="1" applyBorder="1"/>
    <xf numFmtId="43" fontId="37" fillId="0" borderId="0" xfId="29" applyFont="1" applyFill="1" applyBorder="1" applyAlignment="1">
      <alignment horizontal="center" vertical="center"/>
    </xf>
    <xf numFmtId="43" fontId="35" fillId="0" borderId="0" xfId="29" applyFont="1" applyFill="1" applyBorder="1" applyAlignment="1">
      <alignment horizontal="center" vertical="center"/>
    </xf>
    <xf numFmtId="43" fontId="23" fillId="0" borderId="0" xfId="29" applyFont="1" applyFill="1" applyBorder="1" applyAlignment="1">
      <alignment horizontal="center" vertical="center"/>
    </xf>
    <xf numFmtId="43" fontId="65" fillId="0" borderId="1" xfId="29" applyFont="1" applyFill="1" applyBorder="1" applyAlignment="1">
      <alignment vertical="center"/>
    </xf>
    <xf numFmtId="43" fontId="27" fillId="0" borderId="1" xfId="29" applyFont="1" applyFill="1" applyBorder="1" applyAlignment="1">
      <alignment vertical="center"/>
    </xf>
    <xf numFmtId="43" fontId="3" fillId="3" borderId="0" xfId="29" applyFont="1" applyFill="1" applyAlignment="1">
      <alignment vertical="center"/>
    </xf>
    <xf numFmtId="43" fontId="20" fillId="0" borderId="1" xfId="29" applyFont="1" applyFill="1" applyBorder="1" applyAlignment="1">
      <alignment vertical="center"/>
    </xf>
    <xf numFmtId="43" fontId="3" fillId="0" borderId="0" xfId="29" applyFont="1" applyAlignment="1">
      <alignment vertical="center"/>
    </xf>
    <xf numFmtId="43" fontId="66" fillId="0" borderId="1" xfId="29" applyFont="1" applyFill="1" applyBorder="1" applyAlignment="1">
      <alignment vertical="center"/>
    </xf>
    <xf numFmtId="43" fontId="66" fillId="0" borderId="0" xfId="29" applyFont="1" applyFill="1" applyBorder="1" applyAlignment="1">
      <alignment vertical="center"/>
    </xf>
    <xf numFmtId="43" fontId="3" fillId="0" borderId="0" xfId="29" applyFont="1" applyBorder="1" applyAlignment="1">
      <alignment vertical="center"/>
    </xf>
    <xf numFmtId="43" fontId="3" fillId="0" borderId="16" xfId="29" applyFont="1" applyBorder="1" applyAlignment="1">
      <alignment vertical="center"/>
    </xf>
    <xf numFmtId="183" fontId="3" fillId="0" borderId="0" xfId="29" applyNumberFormat="1" applyFont="1" applyFill="1" applyBorder="1" applyAlignment="1">
      <alignment vertical="center"/>
    </xf>
    <xf numFmtId="183" fontId="3" fillId="0" borderId="0" xfId="29" applyNumberFormat="1" applyFont="1" applyFill="1" applyBorder="1" applyAlignment="1">
      <alignment horizontal="center" vertical="center"/>
    </xf>
    <xf numFmtId="183" fontId="3" fillId="0" borderId="0" xfId="29" applyNumberFormat="1" applyFont="1" applyFill="1" applyBorder="1" applyAlignment="1">
      <alignment horizontal="right" vertical="center"/>
    </xf>
    <xf numFmtId="183" fontId="3" fillId="4" borderId="0" xfId="29" applyNumberFormat="1" applyFont="1" applyFill="1" applyBorder="1" applyAlignment="1">
      <alignment horizontal="center" vertical="center"/>
    </xf>
    <xf numFmtId="183" fontId="3" fillId="4" borderId="0" xfId="29" applyNumberFormat="1" applyFont="1" applyFill="1" applyBorder="1" applyAlignment="1">
      <alignment horizontal="center"/>
    </xf>
    <xf numFmtId="183" fontId="3" fillId="4" borderId="0" xfId="29" applyNumberFormat="1" applyFont="1" applyFill="1" applyBorder="1" applyAlignment="1">
      <alignment vertical="center"/>
    </xf>
    <xf numFmtId="4" fontId="37" fillId="0" borderId="0" xfId="25" quotePrefix="1" applyNumberFormat="1" applyFont="1" applyAlignment="1">
      <alignment horizontal="center" vertical="center"/>
    </xf>
    <xf numFmtId="4" fontId="37" fillId="0" borderId="36" xfId="25" applyNumberFormat="1" applyFont="1" applyBorder="1" applyAlignment="1">
      <alignment horizontal="right" vertical="center"/>
    </xf>
    <xf numFmtId="4" fontId="37" fillId="0" borderId="37" xfId="25" applyNumberFormat="1" applyFont="1" applyBorder="1" applyAlignment="1">
      <alignment horizontal="right" vertical="center" wrapText="1"/>
    </xf>
    <xf numFmtId="4" fontId="35" fillId="0" borderId="0" xfId="25" applyNumberFormat="1" applyFont="1" applyAlignment="1">
      <alignment vertical="center"/>
    </xf>
    <xf numFmtId="0" fontId="37" fillId="0" borderId="0" xfId="25" applyFont="1" applyAlignment="1">
      <alignment vertical="center"/>
    </xf>
    <xf numFmtId="4" fontId="88" fillId="0" borderId="0" xfId="25" applyNumberFormat="1" applyFont="1" applyAlignment="1">
      <alignment horizontal="left" vertical="center"/>
    </xf>
    <xf numFmtId="0" fontId="35" fillId="0" borderId="0" xfId="25" applyFont="1" applyAlignment="1">
      <alignment vertical="center"/>
    </xf>
    <xf numFmtId="4" fontId="35" fillId="0" borderId="0" xfId="25" applyNumberFormat="1" applyFont="1" applyAlignment="1">
      <alignment horizontal="left" vertical="center"/>
    </xf>
    <xf numFmtId="43" fontId="37" fillId="0" borderId="0" xfId="29" applyFont="1" applyFill="1" applyBorder="1" applyAlignment="1">
      <alignment vertical="center"/>
    </xf>
    <xf numFmtId="43" fontId="37" fillId="0" borderId="16" xfId="29" applyFont="1" applyFill="1" applyBorder="1" applyAlignment="1">
      <alignment vertical="center"/>
    </xf>
    <xf numFmtId="43" fontId="35" fillId="0" borderId="16" xfId="29" applyFont="1" applyFill="1" applyBorder="1" applyAlignment="1">
      <alignment vertical="center"/>
    </xf>
    <xf numFmtId="43" fontId="35" fillId="0" borderId="0" xfId="29" applyFont="1" applyFill="1" applyBorder="1" applyAlignment="1">
      <alignment vertical="center"/>
    </xf>
    <xf numFmtId="43" fontId="35" fillId="0" borderId="23" xfId="29" applyFont="1" applyFill="1" applyBorder="1" applyAlignment="1">
      <alignment vertical="center"/>
    </xf>
    <xf numFmtId="43" fontId="35" fillId="0" borderId="8" xfId="29" applyFont="1" applyFill="1" applyBorder="1" applyAlignment="1">
      <alignment vertical="center"/>
    </xf>
    <xf numFmtId="4" fontId="37" fillId="0" borderId="0" xfId="25" applyNumberFormat="1" applyFont="1" applyAlignment="1">
      <alignment horizontal="left" vertical="center"/>
    </xf>
    <xf numFmtId="4" fontId="37" fillId="0" borderId="0" xfId="25" applyNumberFormat="1" applyFont="1" applyAlignment="1">
      <alignment vertical="center"/>
    </xf>
    <xf numFmtId="43" fontId="37" fillId="0" borderId="14" xfId="29" applyFont="1" applyFill="1" applyBorder="1" applyAlignment="1">
      <alignment vertical="center"/>
    </xf>
    <xf numFmtId="43" fontId="37" fillId="0" borderId="23" xfId="29" applyFont="1" applyFill="1" applyBorder="1" applyAlignment="1">
      <alignment vertical="center"/>
    </xf>
    <xf numFmtId="43" fontId="37" fillId="0" borderId="8" xfId="29" applyFont="1" applyFill="1" applyBorder="1" applyAlignment="1">
      <alignment vertical="center"/>
    </xf>
    <xf numFmtId="43" fontId="37" fillId="0" borderId="15" xfId="29" applyFont="1" applyFill="1" applyBorder="1" applyAlignment="1">
      <alignment vertical="center"/>
    </xf>
    <xf numFmtId="43" fontId="37" fillId="0" borderId="12" xfId="29" applyFont="1" applyFill="1" applyBorder="1" applyAlignment="1">
      <alignment vertical="center"/>
    </xf>
    <xf numFmtId="4" fontId="25" fillId="0" borderId="0" xfId="25" applyNumberFormat="1" applyFont="1" applyAlignment="1">
      <alignment horizontal="left" vertical="center"/>
    </xf>
    <xf numFmtId="4" fontId="25" fillId="0" borderId="0" xfId="25" applyNumberFormat="1" applyFont="1" applyAlignment="1">
      <alignment horizontal="justify" vertical="center"/>
    </xf>
    <xf numFmtId="180" fontId="35" fillId="0" borderId="16" xfId="41" applyFont="1" applyFill="1" applyBorder="1" applyAlignment="1">
      <alignment vertical="center"/>
    </xf>
    <xf numFmtId="43" fontId="37" fillId="0" borderId="24" xfId="29" applyFont="1" applyFill="1" applyBorder="1" applyAlignment="1">
      <alignment vertical="center"/>
    </xf>
    <xf numFmtId="182" fontId="3" fillId="0" borderId="0" xfId="29" applyNumberFormat="1" applyFont="1" applyAlignment="1">
      <alignment vertical="center"/>
    </xf>
    <xf numFmtId="182" fontId="25" fillId="0" borderId="0" xfId="29" applyNumberFormat="1" applyFont="1" applyAlignment="1">
      <alignment vertical="center"/>
    </xf>
    <xf numFmtId="4" fontId="37" fillId="0" borderId="0" xfId="25" applyNumberFormat="1" applyFont="1" applyAlignment="1">
      <alignment horizontal="center" vertical="center"/>
    </xf>
    <xf numFmtId="0" fontId="37" fillId="0" borderId="0" xfId="25" applyFont="1" applyAlignment="1">
      <alignment vertical="center" wrapText="1"/>
    </xf>
    <xf numFmtId="0" fontId="3" fillId="0" borderId="0" xfId="12" applyFont="1" applyAlignment="1">
      <alignment horizontal="center" vertical="center"/>
    </xf>
    <xf numFmtId="186" fontId="27" fillId="0" borderId="0" xfId="11" applyNumberFormat="1" applyFont="1" applyFill="1" applyBorder="1" applyAlignment="1">
      <alignment horizontal="right" vertical="center"/>
    </xf>
    <xf numFmtId="186" fontId="27" fillId="0" borderId="16" xfId="11" applyNumberFormat="1" applyFont="1" applyFill="1" applyBorder="1" applyAlignment="1">
      <alignment horizontal="right" vertical="center"/>
    </xf>
    <xf numFmtId="43" fontId="37" fillId="0" borderId="0" xfId="29" applyFont="1" applyFill="1" applyBorder="1" applyAlignment="1">
      <alignment horizontal="right" vertical="center"/>
    </xf>
    <xf numFmtId="0" fontId="3" fillId="0" borderId="0" xfId="12" applyFont="1" applyAlignment="1">
      <alignment vertical="center"/>
    </xf>
    <xf numFmtId="183" fontId="3" fillId="0" borderId="16" xfId="29" applyNumberFormat="1" applyFont="1" applyFill="1" applyBorder="1" applyAlignment="1">
      <alignment horizontal="center" vertical="center"/>
    </xf>
    <xf numFmtId="183" fontId="3" fillId="0" borderId="16" xfId="29" applyNumberFormat="1" applyFont="1" applyFill="1" applyBorder="1" applyAlignment="1">
      <alignment horizontal="right" vertical="center"/>
    </xf>
    <xf numFmtId="0" fontId="3" fillId="0" borderId="0" xfId="25" applyFont="1" applyAlignment="1">
      <alignment vertical="center"/>
    </xf>
    <xf numFmtId="0" fontId="1" fillId="0" borderId="0" xfId="20" applyFont="1"/>
    <xf numFmtId="43" fontId="74" fillId="0" borderId="1" xfId="29" applyFont="1" applyFill="1" applyBorder="1" applyAlignment="1">
      <alignment horizontal="center" vertical="center" wrapText="1"/>
    </xf>
    <xf numFmtId="43" fontId="21" fillId="0" borderId="1" xfId="29" applyFont="1" applyFill="1" applyBorder="1" applyAlignment="1">
      <alignment horizontal="right" vertical="center"/>
    </xf>
    <xf numFmtId="43" fontId="21" fillId="0" borderId="9" xfId="29" applyFont="1" applyFill="1" applyBorder="1" applyAlignment="1">
      <alignment horizontal="right" vertical="center"/>
    </xf>
    <xf numFmtId="43" fontId="3" fillId="0" borderId="1" xfId="29" applyBorder="1"/>
    <xf numFmtId="43" fontId="21" fillId="0" borderId="10" xfId="29" applyFont="1" applyFill="1" applyBorder="1" applyAlignment="1">
      <alignment horizontal="right" vertical="center"/>
    </xf>
    <xf numFmtId="43" fontId="21" fillId="0" borderId="8" xfId="29" applyFont="1" applyFill="1" applyBorder="1" applyAlignment="1">
      <alignment horizontal="right" vertical="center"/>
    </xf>
    <xf numFmtId="43" fontId="1" fillId="0" borderId="0" xfId="29" applyFont="1" applyFill="1"/>
    <xf numFmtId="182" fontId="1" fillId="3" borderId="0" xfId="29" applyNumberFormat="1" applyFont="1" applyFill="1"/>
    <xf numFmtId="43" fontId="77" fillId="0" borderId="10" xfId="29" applyFont="1" applyFill="1" applyBorder="1" applyAlignment="1">
      <alignment horizontal="right" vertical="center"/>
    </xf>
    <xf numFmtId="43" fontId="78" fillId="0" borderId="1" xfId="29" applyFont="1" applyFill="1" applyBorder="1" applyAlignment="1">
      <alignment horizontal="right" vertical="center"/>
    </xf>
    <xf numFmtId="43" fontId="1" fillId="0" borderId="0" xfId="29" applyFont="1"/>
    <xf numFmtId="183" fontId="21" fillId="0" borderId="34" xfId="29" applyNumberFormat="1" applyFont="1" applyFill="1" applyBorder="1" applyAlignment="1">
      <alignment horizontal="right" vertical="center"/>
    </xf>
    <xf numFmtId="0" fontId="79" fillId="0" borderId="4" xfId="20" applyFont="1" applyBorder="1" applyAlignment="1">
      <alignment wrapText="1"/>
    </xf>
    <xf numFmtId="43" fontId="79" fillId="0" borderId="0" xfId="20" applyNumberFormat="1" applyFont="1" applyAlignment="1">
      <alignment wrapText="1"/>
    </xf>
    <xf numFmtId="2" fontId="78" fillId="0" borderId="0" xfId="20" applyNumberFormat="1" applyFont="1"/>
    <xf numFmtId="2" fontId="78" fillId="0" borderId="16" xfId="20" applyNumberFormat="1" applyFont="1" applyBorder="1"/>
    <xf numFmtId="0" fontId="19" fillId="0" borderId="4" xfId="20" applyFont="1" applyBorder="1"/>
    <xf numFmtId="206" fontId="19" fillId="0" borderId="0" xfId="20" applyNumberFormat="1" applyFont="1"/>
    <xf numFmtId="0" fontId="19" fillId="0" borderId="16" xfId="20" applyFont="1" applyBorder="1"/>
    <xf numFmtId="0" fontId="80" fillId="0" borderId="4" xfId="20" applyFont="1" applyBorder="1"/>
    <xf numFmtId="209" fontId="80" fillId="0" borderId="0" xfId="20" applyNumberFormat="1" applyFont="1"/>
    <xf numFmtId="0" fontId="80" fillId="0" borderId="16" xfId="20" applyFont="1" applyBorder="1"/>
    <xf numFmtId="2" fontId="80" fillId="0" borderId="0" xfId="20" applyNumberFormat="1" applyFont="1"/>
    <xf numFmtId="0" fontId="2" fillId="0" borderId="7" xfId="20" applyBorder="1"/>
    <xf numFmtId="2" fontId="2" fillId="0" borderId="23" xfId="20" applyNumberFormat="1" applyBorder="1"/>
    <xf numFmtId="0" fontId="75" fillId="0" borderId="0" xfId="20" applyFont="1" applyAlignment="1">
      <alignment wrapText="1"/>
    </xf>
    <xf numFmtId="183" fontId="21" fillId="0" borderId="0" xfId="29" applyNumberFormat="1" applyFont="1" applyFill="1" applyBorder="1"/>
    <xf numFmtId="183" fontId="77" fillId="0" borderId="0" xfId="29" applyNumberFormat="1" applyFont="1" applyFill="1" applyBorder="1"/>
    <xf numFmtId="43" fontId="21" fillId="0" borderId="0" xfId="29" applyFont="1" applyFill="1" applyBorder="1"/>
    <xf numFmtId="0" fontId="96" fillId="0" borderId="0" xfId="20" applyFont="1" applyAlignment="1">
      <alignment wrapText="1"/>
    </xf>
    <xf numFmtId="0" fontId="76" fillId="0" borderId="0" xfId="20" applyFont="1" applyAlignment="1">
      <alignment wrapText="1"/>
    </xf>
    <xf numFmtId="0" fontId="72" fillId="0" borderId="0" xfId="20" applyFont="1" applyAlignment="1">
      <alignment horizontal="left" vertical="top" wrapText="1"/>
    </xf>
    <xf numFmtId="43" fontId="97" fillId="0" borderId="0" xfId="29" applyFont="1" applyFill="1" applyBorder="1"/>
    <xf numFmtId="167" fontId="2" fillId="0" borderId="0" xfId="20" applyNumberFormat="1"/>
    <xf numFmtId="0" fontId="77" fillId="0" borderId="0" xfId="21" applyFont="1"/>
    <xf numFmtId="170" fontId="20" fillId="0" borderId="14" xfId="0" applyFont="1" applyBorder="1" applyAlignment="1">
      <alignment horizontal="right"/>
    </xf>
    <xf numFmtId="43" fontId="82" fillId="0" borderId="1" xfId="29" applyFont="1" applyFill="1" applyBorder="1" applyAlignment="1">
      <alignment horizontal="center" vertical="center" wrapText="1"/>
    </xf>
    <xf numFmtId="43" fontId="82" fillId="0" borderId="11" xfId="29" applyFont="1" applyFill="1" applyBorder="1" applyAlignment="1">
      <alignment horizontal="center" vertical="center" wrapText="1"/>
    </xf>
    <xf numFmtId="2" fontId="76" fillId="0" borderId="0" xfId="29" applyNumberFormat="1" applyFont="1" applyFill="1" applyBorder="1" applyAlignment="1">
      <alignment horizontal="center" vertical="center" wrapText="1"/>
    </xf>
    <xf numFmtId="43" fontId="54" fillId="0" borderId="7" xfId="29" applyFont="1" applyFill="1" applyBorder="1"/>
    <xf numFmtId="43" fontId="54" fillId="0" borderId="10" xfId="29" applyFont="1" applyFill="1" applyBorder="1"/>
    <xf numFmtId="43" fontId="84" fillId="0" borderId="11" xfId="29" applyFont="1" applyFill="1" applyBorder="1" applyAlignment="1">
      <alignment horizontal="center" vertical="center" wrapText="1"/>
    </xf>
    <xf numFmtId="43" fontId="84" fillId="0" borderId="1" xfId="29" applyFont="1" applyFill="1" applyBorder="1" applyAlignment="1">
      <alignment horizontal="center" vertical="center" wrapText="1"/>
    </xf>
    <xf numFmtId="2" fontId="21" fillId="0" borderId="0" xfId="29" applyNumberFormat="1" applyFont="1" applyFill="1" applyBorder="1"/>
    <xf numFmtId="43" fontId="63" fillId="0" borderId="13" xfId="29" applyFont="1" applyFill="1" applyBorder="1"/>
    <xf numFmtId="43" fontId="63" fillId="0" borderId="9" xfId="29" applyFont="1" applyFill="1" applyBorder="1"/>
    <xf numFmtId="183" fontId="21" fillId="0" borderId="0" xfId="29" applyNumberFormat="1" applyFont="1" applyFill="1"/>
    <xf numFmtId="43" fontId="54" fillId="0" borderId="13" xfId="29" applyFont="1" applyFill="1" applyBorder="1"/>
    <xf numFmtId="43" fontId="54" fillId="0" borderId="9" xfId="29" applyFont="1" applyFill="1" applyBorder="1"/>
    <xf numFmtId="43" fontId="63" fillId="0" borderId="11" xfId="29" applyFont="1" applyFill="1" applyBorder="1"/>
    <xf numFmtId="43" fontId="63" fillId="0" borderId="1" xfId="29" applyFont="1" applyFill="1" applyBorder="1"/>
    <xf numFmtId="43" fontId="63" fillId="0" borderId="7" xfId="29" applyFont="1" applyFill="1" applyBorder="1"/>
    <xf numFmtId="43" fontId="63" fillId="0" borderId="10" xfId="29" applyFont="1" applyFill="1" applyBorder="1"/>
    <xf numFmtId="2" fontId="68" fillId="0" borderId="0" xfId="29" applyNumberFormat="1" applyFont="1" applyFill="1" applyBorder="1"/>
    <xf numFmtId="2" fontId="77" fillId="0" borderId="0" xfId="29" applyNumberFormat="1" applyFont="1" applyFill="1" applyBorder="1"/>
    <xf numFmtId="170" fontId="20" fillId="0" borderId="0" xfId="0" applyFont="1" applyAlignment="1">
      <alignment horizontal="right"/>
    </xf>
    <xf numFmtId="43" fontId="87" fillId="0" borderId="4" xfId="29" applyFont="1" applyFill="1" applyBorder="1" applyAlignment="1">
      <alignment horizontal="center" vertical="center" wrapText="1"/>
    </xf>
    <xf numFmtId="43" fontId="82" fillId="0" borderId="16" xfId="29" applyFont="1" applyFill="1" applyBorder="1" applyAlignment="1">
      <alignment horizontal="center" vertical="center" wrapText="1"/>
    </xf>
    <xf numFmtId="43" fontId="78" fillId="0" borderId="4" xfId="29" applyFont="1" applyFill="1" applyBorder="1"/>
    <xf numFmtId="43" fontId="54" fillId="0" borderId="16" xfId="29" applyFont="1" applyFill="1" applyBorder="1"/>
    <xf numFmtId="43" fontId="54" fillId="0" borderId="4" xfId="29" applyFont="1" applyFill="1" applyBorder="1"/>
    <xf numFmtId="43" fontId="54" fillId="0" borderId="11" xfId="29" applyFont="1" applyFill="1" applyBorder="1"/>
    <xf numFmtId="43" fontId="63" fillId="0" borderId="4" xfId="29" applyFont="1" applyFill="1" applyBorder="1"/>
    <xf numFmtId="43" fontId="63" fillId="0" borderId="16" xfId="29" applyFont="1" applyFill="1" applyBorder="1"/>
    <xf numFmtId="195" fontId="63" fillId="0" borderId="4" xfId="29" applyNumberFormat="1" applyFont="1" applyFill="1" applyBorder="1"/>
    <xf numFmtId="43" fontId="85" fillId="0" borderId="4" xfId="0" applyNumberFormat="1" applyFont="1" applyBorder="1"/>
    <xf numFmtId="43" fontId="60" fillId="0" borderId="11" xfId="29" applyFont="1" applyFill="1" applyBorder="1" applyAlignment="1">
      <alignment horizontal="center" vertical="center"/>
    </xf>
    <xf numFmtId="43" fontId="60" fillId="0" borderId="1" xfId="29" applyFont="1" applyFill="1" applyBorder="1" applyAlignment="1">
      <alignment horizontal="center" vertical="center" wrapText="1"/>
    </xf>
    <xf numFmtId="43" fontId="86" fillId="0" borderId="16" xfId="29" applyFont="1" applyFill="1" applyBorder="1" applyAlignment="1">
      <alignment horizontal="center" vertical="center" wrapText="1"/>
    </xf>
    <xf numFmtId="43" fontId="80" fillId="0" borderId="9" xfId="29" applyFont="1" applyBorder="1" applyAlignment="1"/>
    <xf numFmtId="43" fontId="80" fillId="0" borderId="2" xfId="29" applyFont="1" applyBorder="1"/>
    <xf numFmtId="43" fontId="80" fillId="0" borderId="2" xfId="29" applyFont="1" applyBorder="1" applyAlignment="1"/>
    <xf numFmtId="43" fontId="80" fillId="0" borderId="4" xfId="29" applyFont="1" applyBorder="1"/>
    <xf numFmtId="43" fontId="80" fillId="0" borderId="10" xfId="29" applyFont="1" applyBorder="1" applyAlignment="1"/>
    <xf numFmtId="43" fontId="60" fillId="0" borderId="13" xfId="29" applyFont="1" applyBorder="1" applyAlignment="1">
      <alignment vertical="center"/>
    </xf>
    <xf numFmtId="43" fontId="60" fillId="0" borderId="1" xfId="29" applyFont="1" applyBorder="1" applyAlignment="1">
      <alignment vertical="center"/>
    </xf>
    <xf numFmtId="170" fontId="22" fillId="0" borderId="0" xfId="0" applyFont="1"/>
    <xf numFmtId="170" fontId="65" fillId="0" borderId="0" xfId="0" applyFont="1" applyAlignment="1">
      <alignment horizontal="right"/>
    </xf>
    <xf numFmtId="43" fontId="56" fillId="0" borderId="1" xfId="29" applyFont="1" applyFill="1" applyBorder="1" applyAlignment="1">
      <alignment vertical="center"/>
    </xf>
    <xf numFmtId="43" fontId="55" fillId="0" borderId="1" xfId="29" applyFont="1" applyFill="1" applyBorder="1" applyAlignment="1">
      <alignment vertical="center"/>
    </xf>
    <xf numFmtId="43" fontId="66" fillId="0" borderId="0" xfId="0" applyNumberFormat="1" applyFont="1"/>
    <xf numFmtId="43" fontId="49" fillId="0" borderId="0" xfId="0" applyNumberFormat="1" applyFont="1"/>
    <xf numFmtId="206" fontId="49" fillId="3" borderId="0" xfId="0" applyNumberFormat="1" applyFont="1" applyFill="1"/>
    <xf numFmtId="43" fontId="21" fillId="0" borderId="15" xfId="29" applyFont="1" applyFill="1" applyBorder="1"/>
    <xf numFmtId="43" fontId="21" fillId="0" borderId="12" xfId="29" applyFont="1" applyFill="1" applyBorder="1"/>
    <xf numFmtId="0" fontId="78" fillId="0" borderId="0" xfId="27" applyFont="1"/>
    <xf numFmtId="43" fontId="54" fillId="0" borderId="24" xfId="29" applyFont="1" applyFill="1" applyBorder="1"/>
    <xf numFmtId="43" fontId="54" fillId="0" borderId="14" xfId="29" applyFont="1" applyFill="1" applyBorder="1"/>
    <xf numFmtId="43" fontId="91" fillId="0" borderId="24" xfId="29" applyFont="1" applyFill="1" applyBorder="1"/>
    <xf numFmtId="0" fontId="63" fillId="0" borderId="14" xfId="27" applyFont="1" applyBorder="1"/>
    <xf numFmtId="43" fontId="91" fillId="0" borderId="0" xfId="29" applyFont="1" applyFill="1" applyBorder="1"/>
    <xf numFmtId="43" fontId="91" fillId="0" borderId="8" xfId="29" applyFont="1" applyFill="1" applyBorder="1"/>
    <xf numFmtId="43" fontId="91" fillId="0" borderId="1" xfId="29" applyFont="1" applyFill="1" applyBorder="1" applyAlignment="1">
      <alignment horizontal="center" vertical="center"/>
    </xf>
    <xf numFmtId="43" fontId="98" fillId="0" borderId="0" xfId="29" applyFont="1" applyFill="1" applyBorder="1"/>
    <xf numFmtId="0" fontId="98" fillId="0" borderId="0" xfId="27" applyFont="1" applyAlignment="1">
      <alignment horizontal="center" vertical="center"/>
    </xf>
    <xf numFmtId="183" fontId="91" fillId="0" borderId="1" xfId="29" applyNumberFormat="1" applyFont="1" applyFill="1" applyBorder="1"/>
    <xf numFmtId="43" fontId="91" fillId="0" borderId="1" xfId="29" applyFont="1" applyFill="1" applyBorder="1"/>
    <xf numFmtId="183" fontId="98" fillId="0" borderId="0" xfId="29" applyNumberFormat="1" applyFont="1" applyFill="1" applyBorder="1"/>
    <xf numFmtId="43" fontId="91" fillId="0" borderId="16" xfId="29" applyFont="1" applyFill="1" applyBorder="1"/>
    <xf numFmtId="43" fontId="91" fillId="0" borderId="1" xfId="29" applyFont="1" applyFill="1" applyBorder="1" applyAlignment="1">
      <alignment horizontal="center"/>
    </xf>
    <xf numFmtId="183" fontId="91" fillId="0" borderId="1" xfId="29" applyNumberFormat="1" applyFont="1" applyFill="1" applyBorder="1" applyAlignment="1"/>
    <xf numFmtId="43" fontId="91" fillId="0" borderId="12" xfId="29" applyFont="1" applyFill="1" applyBorder="1" applyAlignment="1"/>
    <xf numFmtId="183" fontId="98" fillId="0" borderId="0" xfId="29" applyNumberFormat="1" applyFont="1" applyFill="1" applyBorder="1" applyAlignment="1"/>
    <xf numFmtId="43" fontId="78" fillId="0" borderId="0" xfId="29" applyFont="1" applyFill="1" applyBorder="1"/>
    <xf numFmtId="43" fontId="91" fillId="0" borderId="1" xfId="29" applyFont="1" applyFill="1" applyBorder="1" applyAlignment="1"/>
    <xf numFmtId="43" fontId="98" fillId="0" borderId="0" xfId="29" applyFont="1" applyFill="1" applyBorder="1" applyAlignment="1"/>
    <xf numFmtId="0" fontId="91" fillId="0" borderId="16" xfId="27" applyFont="1" applyBorder="1"/>
    <xf numFmtId="0" fontId="98" fillId="0" borderId="0" xfId="27" applyFont="1" applyAlignment="1">
      <alignment wrapText="1"/>
    </xf>
    <xf numFmtId="183" fontId="78" fillId="0" borderId="0" xfId="27" applyNumberFormat="1" applyFont="1"/>
    <xf numFmtId="43" fontId="91" fillId="0" borderId="11" xfId="29" applyFont="1" applyFill="1" applyBorder="1"/>
    <xf numFmtId="43" fontId="91" fillId="0" borderId="12" xfId="29" applyFont="1" applyFill="1" applyBorder="1" applyAlignment="1">
      <alignment vertical="center"/>
    </xf>
    <xf numFmtId="43" fontId="91" fillId="0" borderId="11" xfId="29" applyFont="1" applyFill="1" applyBorder="1" applyAlignment="1">
      <alignment vertical="center"/>
    </xf>
    <xf numFmtId="43" fontId="21" fillId="0" borderId="0" xfId="29" applyFont="1" applyFill="1"/>
    <xf numFmtId="0" fontId="91" fillId="0" borderId="24" xfId="27" applyFont="1" applyBorder="1" applyAlignment="1">
      <alignment horizontal="left" vertical="center" wrapText="1"/>
    </xf>
    <xf numFmtId="43" fontId="91" fillId="0" borderId="24" xfId="29" applyFont="1" applyFill="1" applyBorder="1" applyAlignment="1">
      <alignment vertical="center"/>
    </xf>
    <xf numFmtId="43" fontId="91" fillId="0" borderId="12" xfId="29" applyFont="1" applyFill="1" applyBorder="1" applyAlignment="1">
      <alignment horizontal="center" vertical="center"/>
    </xf>
    <xf numFmtId="43" fontId="91" fillId="0" borderId="1" xfId="29" applyFont="1" applyFill="1" applyBorder="1" applyAlignment="1">
      <alignment horizontal="center" vertical="center" wrapText="1"/>
    </xf>
    <xf numFmtId="43" fontId="92" fillId="0" borderId="12" xfId="29" applyFont="1" applyFill="1" applyBorder="1" applyAlignment="1"/>
    <xf numFmtId="43" fontId="92" fillId="0" borderId="1" xfId="29" applyFont="1" applyFill="1" applyBorder="1" applyAlignment="1">
      <alignment horizontal="center" wrapText="1"/>
    </xf>
    <xf numFmtId="43" fontId="91" fillId="0" borderId="12" xfId="29" quotePrefix="1" applyFont="1" applyFill="1" applyBorder="1" applyAlignment="1"/>
    <xf numFmtId="183" fontId="92" fillId="0" borderId="12" xfId="29" applyNumberFormat="1" applyFont="1" applyFill="1" applyBorder="1" applyAlignment="1"/>
    <xf numFmtId="43" fontId="92" fillId="0" borderId="1" xfId="29" quotePrefix="1" applyFont="1" applyFill="1" applyBorder="1" applyAlignment="1"/>
    <xf numFmtId="43" fontId="92" fillId="0" borderId="12" xfId="29" quotePrefix="1" applyFont="1" applyFill="1" applyBorder="1" applyAlignment="1"/>
    <xf numFmtId="43" fontId="92" fillId="0" borderId="0" xfId="29" applyFont="1" applyFill="1" applyBorder="1"/>
    <xf numFmtId="43" fontId="77" fillId="0" borderId="1" xfId="29" applyFont="1" applyFill="1" applyBorder="1" applyAlignment="1">
      <alignment horizontal="left" vertical="center"/>
    </xf>
    <xf numFmtId="43" fontId="77" fillId="0" borderId="1" xfId="29" applyFont="1" applyFill="1" applyBorder="1"/>
    <xf numFmtId="43" fontId="77" fillId="0" borderId="11" xfId="29" applyFont="1" applyFill="1" applyBorder="1"/>
    <xf numFmtId="43" fontId="77" fillId="0" borderId="4" xfId="29" applyFont="1" applyFill="1" applyBorder="1"/>
    <xf numFmtId="0" fontId="77" fillId="0" borderId="11" xfId="27" applyFont="1" applyBorder="1" applyAlignment="1">
      <alignment horizontal="right"/>
    </xf>
    <xf numFmtId="0" fontId="1" fillId="0" borderId="0" xfId="42"/>
    <xf numFmtId="2" fontId="1" fillId="0" borderId="0" xfId="42" applyNumberFormat="1"/>
    <xf numFmtId="0" fontId="1" fillId="0" borderId="0" xfId="42" applyAlignment="1">
      <alignment horizontal="center" vertical="center" wrapText="1"/>
    </xf>
    <xf numFmtId="0" fontId="1" fillId="0" borderId="0" xfId="42" applyAlignment="1">
      <alignment vertical="center"/>
    </xf>
    <xf numFmtId="0" fontId="1" fillId="0" borderId="0" xfId="42" applyAlignment="1">
      <alignment horizontal="right" vertical="center"/>
    </xf>
    <xf numFmtId="1" fontId="1" fillId="0" borderId="0" xfId="42" applyNumberFormat="1"/>
    <xf numFmtId="0" fontId="99" fillId="0" borderId="0" xfId="42" applyFont="1"/>
    <xf numFmtId="0" fontId="1" fillId="0" borderId="0" xfId="42" applyAlignment="1">
      <alignment horizontal="right"/>
    </xf>
    <xf numFmtId="0" fontId="1" fillId="0" borderId="0" xfId="42" applyAlignment="1">
      <alignment horizontal="left" vertical="center"/>
    </xf>
    <xf numFmtId="0" fontId="77" fillId="0" borderId="1" xfId="42" applyFont="1" applyBorder="1" applyAlignment="1">
      <alignment horizontal="center" vertical="center" wrapText="1"/>
    </xf>
    <xf numFmtId="2" fontId="77" fillId="0" borderId="9" xfId="42" applyNumberFormat="1" applyFont="1" applyBorder="1" applyAlignment="1">
      <alignment horizontal="center" vertical="center" wrapText="1"/>
    </xf>
    <xf numFmtId="0" fontId="77" fillId="0" borderId="11" xfId="42" applyFont="1" applyBorder="1" applyAlignment="1">
      <alignment horizontal="center" vertical="center" wrapText="1"/>
    </xf>
    <xf numFmtId="2" fontId="77" fillId="0" borderId="1" xfId="42" applyNumberFormat="1" applyFont="1" applyBorder="1" applyAlignment="1">
      <alignment horizontal="center" vertical="center" wrapText="1"/>
    </xf>
    <xf numFmtId="0" fontId="77" fillId="0" borderId="14" xfId="42" applyFont="1" applyBorder="1" applyAlignment="1">
      <alignment horizontal="center" vertical="center" wrapText="1"/>
    </xf>
    <xf numFmtId="0" fontId="77" fillId="0" borderId="9" xfId="42" applyFont="1" applyBorder="1" applyAlignment="1">
      <alignment horizontal="center" vertical="center" wrapText="1"/>
    </xf>
    <xf numFmtId="0" fontId="63" fillId="0" borderId="9" xfId="42" applyFont="1" applyBorder="1" applyAlignment="1">
      <alignment horizontal="center" vertical="center" wrapText="1"/>
    </xf>
    <xf numFmtId="0" fontId="77" fillId="0" borderId="4" xfId="42" applyFont="1" applyBorder="1" applyAlignment="1">
      <alignment horizontal="center" vertical="center" wrapText="1"/>
    </xf>
    <xf numFmtId="1" fontId="18" fillId="0" borderId="0" xfId="42" applyNumberFormat="1" applyFont="1" applyAlignment="1">
      <alignment wrapText="1"/>
    </xf>
    <xf numFmtId="1" fontId="1" fillId="0" borderId="0" xfId="42" applyNumberFormat="1" applyAlignment="1">
      <alignment horizontal="center" vertical="center" wrapText="1"/>
    </xf>
    <xf numFmtId="0" fontId="1" fillId="0" borderId="0" xfId="42" applyAlignment="1">
      <alignment horizontal="center" vertical="center"/>
    </xf>
    <xf numFmtId="1" fontId="1" fillId="0" borderId="1" xfId="42" applyNumberFormat="1" applyBorder="1" applyAlignment="1">
      <alignment horizontal="center" vertical="center"/>
    </xf>
    <xf numFmtId="0" fontId="1" fillId="0" borderId="1" xfId="42" applyBorder="1" applyAlignment="1">
      <alignment horizontal="center" vertical="center"/>
    </xf>
    <xf numFmtId="0" fontId="1" fillId="0" borderId="1" xfId="42" applyBorder="1" applyAlignment="1">
      <alignment vertical="center" wrapText="1"/>
    </xf>
    <xf numFmtId="2" fontId="1" fillId="0" borderId="1" xfId="42" applyNumberFormat="1" applyBorder="1" applyAlignment="1">
      <alignment vertical="center"/>
    </xf>
    <xf numFmtId="2" fontId="1" fillId="0" borderId="1" xfId="42" applyNumberFormat="1" applyBorder="1" applyAlignment="1">
      <alignment horizontal="right" vertical="center"/>
    </xf>
    <xf numFmtId="2" fontId="1" fillId="0" borderId="12" xfId="42" applyNumberFormat="1" applyBorder="1" applyAlignment="1">
      <alignment vertical="center"/>
    </xf>
    <xf numFmtId="0" fontId="1" fillId="0" borderId="1" xfId="42" applyBorder="1" applyAlignment="1">
      <alignment horizontal="center" vertical="center" wrapText="1"/>
    </xf>
    <xf numFmtId="10" fontId="1" fillId="0" borderId="1" xfId="42" applyNumberFormat="1" applyBorder="1" applyAlignment="1">
      <alignment horizontal="center" vertical="center"/>
    </xf>
    <xf numFmtId="0" fontId="1" fillId="0" borderId="1" xfId="42" applyBorder="1" applyAlignment="1">
      <alignment vertical="top" wrapText="1"/>
    </xf>
    <xf numFmtId="0" fontId="1" fillId="0" borderId="0" xfId="42" applyAlignment="1">
      <alignment vertical="top" wrapText="1"/>
    </xf>
    <xf numFmtId="2" fontId="1" fillId="0" borderId="0" xfId="42" applyNumberFormat="1" applyAlignment="1">
      <alignment horizontal="right" vertical="center"/>
    </xf>
    <xf numFmtId="2" fontId="54" fillId="0" borderId="12" xfId="42" applyNumberFormat="1" applyFont="1" applyBorder="1" applyAlignment="1">
      <alignment vertical="center"/>
    </xf>
    <xf numFmtId="2" fontId="54" fillId="0" borderId="1" xfId="42" applyNumberFormat="1" applyFont="1" applyBorder="1" applyAlignment="1">
      <alignment vertical="center"/>
    </xf>
    <xf numFmtId="2" fontId="1" fillId="0" borderId="0" xfId="42" applyNumberFormat="1" applyAlignment="1">
      <alignment vertical="center"/>
    </xf>
    <xf numFmtId="0" fontId="1" fillId="0" borderId="9" xfId="42" applyBorder="1" applyAlignment="1">
      <alignment horizontal="center" vertical="center"/>
    </xf>
    <xf numFmtId="0" fontId="1" fillId="0" borderId="9" xfId="42" applyBorder="1" applyAlignment="1">
      <alignment vertical="center" wrapText="1"/>
    </xf>
    <xf numFmtId="2" fontId="1" fillId="0" borderId="9" xfId="42" applyNumberFormat="1" applyBorder="1" applyAlignment="1">
      <alignment vertical="center"/>
    </xf>
    <xf numFmtId="0" fontId="3" fillId="0" borderId="1" xfId="42" applyFont="1" applyBorder="1"/>
    <xf numFmtId="2" fontId="1" fillId="0" borderId="12" xfId="42" applyNumberFormat="1" applyBorder="1" applyAlignment="1">
      <alignment horizontal="right" vertical="center"/>
    </xf>
    <xf numFmtId="180" fontId="3" fillId="0" borderId="1" xfId="33" applyFont="1" applyFill="1" applyBorder="1" applyAlignment="1">
      <alignment vertical="center"/>
    </xf>
    <xf numFmtId="0" fontId="1" fillId="0" borderId="1" xfId="42" applyBorder="1" applyAlignment="1">
      <alignment wrapText="1"/>
    </xf>
    <xf numFmtId="165" fontId="1" fillId="0" borderId="0" xfId="42" applyNumberFormat="1" applyAlignment="1">
      <alignment horizontal="right" vertical="center"/>
    </xf>
    <xf numFmtId="202" fontId="1" fillId="0" borderId="0" xfId="42" applyNumberFormat="1"/>
    <xf numFmtId="180" fontId="1" fillId="0" borderId="1" xfId="33" applyFont="1" applyFill="1" applyBorder="1" applyAlignment="1">
      <alignment horizontal="right" vertical="center"/>
    </xf>
    <xf numFmtId="0" fontId="1" fillId="0" borderId="1" xfId="42" applyBorder="1"/>
    <xf numFmtId="0" fontId="3" fillId="0" borderId="1" xfId="42" applyFont="1" applyBorder="1" applyAlignment="1">
      <alignment wrapText="1"/>
    </xf>
    <xf numFmtId="0" fontId="100" fillId="0" borderId="1" xfId="42" applyFont="1" applyBorder="1" applyAlignment="1">
      <alignment horizontal="center" vertical="center" wrapText="1"/>
    </xf>
    <xf numFmtId="0" fontId="3" fillId="0" borderId="0" xfId="42" applyFont="1" applyAlignment="1">
      <alignment wrapText="1"/>
    </xf>
    <xf numFmtId="0" fontId="1" fillId="0" borderId="1" xfId="42" applyBorder="1" applyAlignment="1">
      <alignment horizontal="left" vertical="center" wrapText="1"/>
    </xf>
    <xf numFmtId="10" fontId="18" fillId="0" borderId="1" xfId="42" applyNumberFormat="1" applyFont="1" applyBorder="1" applyAlignment="1">
      <alignment horizontal="center" vertical="center"/>
    </xf>
    <xf numFmtId="0" fontId="1" fillId="0" borderId="1" xfId="42" applyBorder="1" applyAlignment="1">
      <alignment vertical="center"/>
    </xf>
    <xf numFmtId="180" fontId="1" fillId="0" borderId="1" xfId="33" applyFont="1" applyFill="1" applyBorder="1" applyAlignment="1">
      <alignment vertical="center"/>
    </xf>
    <xf numFmtId="0" fontId="1" fillId="0" borderId="0" xfId="42" applyAlignment="1">
      <alignment horizontal="left" vertical="center" wrapText="1"/>
    </xf>
    <xf numFmtId="1" fontId="1" fillId="0" borderId="1" xfId="42" applyNumberFormat="1" applyBorder="1" applyAlignment="1">
      <alignment vertical="center"/>
    </xf>
    <xf numFmtId="10" fontId="1" fillId="0" borderId="1" xfId="42" applyNumberFormat="1" applyBorder="1" applyAlignment="1">
      <alignment horizontal="center" vertical="center" wrapText="1"/>
    </xf>
    <xf numFmtId="0" fontId="1" fillId="0" borderId="1" xfId="42" applyBorder="1" applyAlignment="1">
      <alignment horizontal="left" vertical="top" wrapText="1"/>
    </xf>
    <xf numFmtId="0" fontId="1" fillId="0" borderId="0" xfId="42" applyAlignment="1">
      <alignment horizontal="left" vertical="top" wrapText="1"/>
    </xf>
    <xf numFmtId="2" fontId="1" fillId="0" borderId="1" xfId="42" applyNumberFormat="1" applyBorder="1" applyAlignment="1">
      <alignment vertical="center" wrapText="1"/>
    </xf>
    <xf numFmtId="0" fontId="1" fillId="0" borderId="0" xfId="43" applyAlignment="1">
      <alignment horizontal="center" vertical="center"/>
    </xf>
    <xf numFmtId="0" fontId="13" fillId="0" borderId="1" xfId="44" applyFont="1" applyBorder="1" applyAlignment="1">
      <alignment horizontal="center" vertical="center" wrapText="1"/>
    </xf>
    <xf numFmtId="0" fontId="1" fillId="0" borderId="1" xfId="43" applyBorder="1" applyAlignment="1">
      <alignment horizontal="center" vertical="center" wrapText="1"/>
    </xf>
    <xf numFmtId="0" fontId="1" fillId="0" borderId="1" xfId="43" applyBorder="1" applyAlignment="1">
      <alignment vertical="top" wrapText="1"/>
    </xf>
    <xf numFmtId="0" fontId="13" fillId="0" borderId="1" xfId="45" applyFont="1" applyBorder="1" applyAlignment="1">
      <alignment horizontal="left" vertical="center" wrapText="1"/>
    </xf>
    <xf numFmtId="2" fontId="1" fillId="0" borderId="1" xfId="43" applyNumberFormat="1" applyBorder="1" applyAlignment="1">
      <alignment vertical="center" wrapText="1"/>
    </xf>
    <xf numFmtId="9" fontId="13" fillId="0" borderId="1" xfId="44" applyNumberFormat="1" applyFont="1" applyBorder="1" applyAlignment="1">
      <alignment horizontal="center" vertical="center" wrapText="1"/>
    </xf>
    <xf numFmtId="0" fontId="13" fillId="0" borderId="1" xfId="45" applyFont="1" applyBorder="1" applyAlignment="1">
      <alignment horizontal="justify" vertical="center" wrapText="1"/>
    </xf>
    <xf numFmtId="0" fontId="1" fillId="0" borderId="0" xfId="43" applyAlignment="1">
      <alignment horizontal="center" vertical="center" wrapText="1"/>
    </xf>
    <xf numFmtId="2" fontId="1" fillId="0" borderId="0" xfId="43" applyNumberFormat="1" applyAlignment="1">
      <alignment horizontal="right" vertical="center"/>
    </xf>
    <xf numFmtId="1" fontId="1" fillId="0" borderId="0" xfId="43" applyNumberFormat="1"/>
    <xf numFmtId="0" fontId="1" fillId="0" borderId="0" xfId="43"/>
    <xf numFmtId="0" fontId="101" fillId="0" borderId="1" xfId="44" applyFont="1" applyBorder="1" applyAlignment="1">
      <alignment horizontal="center" vertical="center" wrapText="1"/>
    </xf>
    <xf numFmtId="170" fontId="1" fillId="0" borderId="1" xfId="0" applyFont="1" applyBorder="1" applyAlignment="1">
      <alignment horizontal="center" vertical="center" wrapText="1"/>
    </xf>
    <xf numFmtId="0" fontId="77" fillId="0" borderId="1" xfId="42" applyFont="1" applyBorder="1" applyAlignment="1">
      <alignment vertical="top" wrapText="1"/>
    </xf>
    <xf numFmtId="2" fontId="77" fillId="0" borderId="1" xfId="42" applyNumberFormat="1" applyFont="1" applyBorder="1"/>
    <xf numFmtId="2" fontId="1" fillId="15" borderId="0" xfId="42" applyNumberFormat="1" applyFill="1"/>
    <xf numFmtId="2" fontId="77" fillId="0" borderId="0" xfId="42" applyNumberFormat="1" applyFont="1"/>
    <xf numFmtId="2" fontId="1" fillId="0" borderId="0" xfId="42" applyNumberFormat="1" applyAlignment="1">
      <alignment horizontal="right"/>
    </xf>
    <xf numFmtId="0" fontId="77" fillId="0" borderId="1" xfId="43" applyFont="1" applyBorder="1" applyAlignment="1">
      <alignment horizontal="center" vertical="center" wrapText="1"/>
    </xf>
    <xf numFmtId="43" fontId="77" fillId="0" borderId="1" xfId="43" applyNumberFormat="1" applyFont="1" applyBorder="1" applyAlignment="1">
      <alignment horizontal="center" vertical="center" wrapText="1"/>
    </xf>
    <xf numFmtId="0" fontId="18" fillId="0" borderId="1" xfId="43" applyFont="1" applyBorder="1" applyAlignment="1">
      <alignment horizontal="center" vertical="center" wrapText="1"/>
    </xf>
    <xf numFmtId="2" fontId="1" fillId="0" borderId="1" xfId="43" applyNumberFormat="1" applyBorder="1" applyAlignment="1">
      <alignment horizontal="right" vertical="center" wrapText="1"/>
    </xf>
    <xf numFmtId="43" fontId="1" fillId="0" borderId="1" xfId="29" applyFont="1" applyFill="1" applyBorder="1" applyAlignment="1">
      <alignment horizontal="right" vertical="center" wrapText="1"/>
    </xf>
    <xf numFmtId="0" fontId="1" fillId="0" borderId="9" xfId="43" applyBorder="1" applyAlignment="1">
      <alignment horizontal="center" vertical="center" wrapText="1"/>
    </xf>
    <xf numFmtId="0" fontId="18" fillId="0" borderId="9" xfId="43" applyFont="1" applyBorder="1" applyAlignment="1">
      <alignment horizontal="center" vertical="center" wrapText="1"/>
    </xf>
    <xf numFmtId="2" fontId="1" fillId="0" borderId="9" xfId="43" applyNumberFormat="1" applyBorder="1" applyAlignment="1">
      <alignment horizontal="right" vertical="center" wrapText="1"/>
    </xf>
    <xf numFmtId="43" fontId="1" fillId="0" borderId="9" xfId="29" applyFont="1" applyFill="1" applyBorder="1" applyAlignment="1">
      <alignment horizontal="right" vertical="center" wrapText="1"/>
    </xf>
    <xf numFmtId="170" fontId="3" fillId="0" borderId="1" xfId="0" applyFont="1" applyBorder="1" applyAlignment="1">
      <alignment horizontal="center" vertical="center" wrapText="1"/>
    </xf>
    <xf numFmtId="2" fontId="1" fillId="0" borderId="1" xfId="0" applyNumberFormat="1" applyFont="1" applyBorder="1" applyAlignment="1">
      <alignment horizontal="right" vertical="center" wrapText="1"/>
    </xf>
    <xf numFmtId="43" fontId="1" fillId="0" borderId="1" xfId="29" applyFont="1" applyBorder="1" applyAlignment="1">
      <alignment horizontal="right" vertical="center" wrapText="1"/>
    </xf>
    <xf numFmtId="10" fontId="1" fillId="0" borderId="1" xfId="40" applyNumberFormat="1" applyFont="1" applyBorder="1" applyAlignment="1">
      <alignment horizontal="center" vertical="center" wrapText="1"/>
    </xf>
    <xf numFmtId="10" fontId="3" fillId="0" borderId="1" xfId="40" applyNumberFormat="1" applyFont="1" applyFill="1" applyBorder="1" applyAlignment="1">
      <alignment horizontal="center" vertical="center" wrapText="1"/>
    </xf>
    <xf numFmtId="0" fontId="1" fillId="0" borderId="1" xfId="43" applyBorder="1" applyAlignment="1">
      <alignment vertical="center" wrapText="1"/>
    </xf>
    <xf numFmtId="170" fontId="80" fillId="0" borderId="1" xfId="0" applyFont="1" applyBorder="1" applyAlignment="1">
      <alignment horizontal="center" vertical="center" wrapText="1"/>
    </xf>
    <xf numFmtId="0" fontId="77" fillId="0" borderId="1" xfId="43" applyFont="1" applyBorder="1"/>
    <xf numFmtId="2" fontId="77" fillId="0" borderId="1" xfId="43" applyNumberFormat="1" applyFont="1" applyBorder="1" applyAlignment="1">
      <alignment horizontal="right"/>
    </xf>
    <xf numFmtId="43" fontId="77" fillId="0" borderId="1" xfId="29" applyFont="1" applyBorder="1" applyAlignment="1">
      <alignment horizontal="right"/>
    </xf>
    <xf numFmtId="0" fontId="1" fillId="0" borderId="1" xfId="43" applyBorder="1"/>
    <xf numFmtId="0" fontId="1" fillId="0" borderId="0" xfId="43" applyAlignment="1">
      <alignment wrapText="1"/>
    </xf>
    <xf numFmtId="2" fontId="1" fillId="0" borderId="0" xfId="43" applyNumberFormat="1" applyAlignment="1">
      <alignment horizontal="right"/>
    </xf>
    <xf numFmtId="2" fontId="1" fillId="0" borderId="0" xfId="43" applyNumberFormat="1"/>
    <xf numFmtId="0" fontId="1" fillId="0" borderId="0" xfId="43" applyAlignment="1">
      <alignment vertical="top" wrapText="1"/>
    </xf>
    <xf numFmtId="2" fontId="80" fillId="14" borderId="0" xfId="43" applyNumberFormat="1" applyFont="1" applyFill="1"/>
    <xf numFmtId="186" fontId="80" fillId="0" borderId="0" xfId="43" applyNumberFormat="1" applyFont="1"/>
    <xf numFmtId="43" fontId="1" fillId="0" borderId="0" xfId="43" applyNumberFormat="1"/>
    <xf numFmtId="189" fontId="1" fillId="0" borderId="0" xfId="29" applyNumberFormat="1" applyFont="1"/>
    <xf numFmtId="182" fontId="1" fillId="0" borderId="0" xfId="43" applyNumberFormat="1"/>
    <xf numFmtId="38" fontId="7" fillId="0" borderId="0" xfId="0" applyNumberFormat="1" applyFont="1"/>
    <xf numFmtId="4" fontId="7" fillId="0" borderId="1" xfId="0" applyNumberFormat="1" applyFont="1" applyBorder="1"/>
    <xf numFmtId="172" fontId="7" fillId="0" borderId="1" xfId="0" applyNumberFormat="1" applyFont="1" applyBorder="1" applyAlignment="1">
      <alignment vertical="top" wrapText="1"/>
    </xf>
    <xf numFmtId="170" fontId="7" fillId="0" borderId="1" xfId="46" applyFont="1" applyBorder="1" applyAlignment="1">
      <alignment horizontal="right" vertical="center"/>
    </xf>
    <xf numFmtId="2" fontId="7" fillId="0" borderId="1" xfId="0" applyNumberFormat="1" applyFont="1" applyBorder="1" applyAlignment="1">
      <alignment vertical="center"/>
    </xf>
    <xf numFmtId="2" fontId="8" fillId="0" borderId="1" xfId="0" applyNumberFormat="1" applyFont="1" applyBorder="1" applyAlignment="1">
      <alignment vertical="center"/>
    </xf>
    <xf numFmtId="172" fontId="7" fillId="0" borderId="1" xfId="0" applyNumberFormat="1" applyFont="1" applyBorder="1" applyAlignment="1">
      <alignment vertical="center"/>
    </xf>
    <xf numFmtId="40" fontId="8" fillId="0" borderId="1" xfId="0" applyNumberFormat="1" applyFont="1" applyBorder="1" applyAlignment="1">
      <alignment horizontal="center" vertical="center"/>
    </xf>
    <xf numFmtId="40" fontId="7" fillId="0" borderId="1" xfId="0" applyNumberFormat="1" applyFont="1" applyBorder="1" applyAlignment="1">
      <alignment vertical="center"/>
    </xf>
    <xf numFmtId="170" fontId="8" fillId="3" borderId="1" xfId="0" applyFont="1" applyFill="1" applyBorder="1" applyAlignment="1">
      <alignment vertical="center"/>
    </xf>
    <xf numFmtId="40" fontId="8" fillId="0" borderId="1" xfId="0" applyNumberFormat="1" applyFont="1" applyBorder="1" applyAlignment="1">
      <alignment horizontal="right" vertical="center"/>
    </xf>
    <xf numFmtId="39" fontId="8" fillId="0" borderId="1" xfId="0" applyNumberFormat="1" applyFont="1" applyBorder="1" applyAlignment="1">
      <alignment vertical="center"/>
    </xf>
    <xf numFmtId="40" fontId="11" fillId="0" borderId="1" xfId="0" applyNumberFormat="1" applyFont="1" applyBorder="1" applyAlignment="1">
      <alignment vertical="center"/>
    </xf>
    <xf numFmtId="40" fontId="8" fillId="0" borderId="1" xfId="0" applyNumberFormat="1" applyFont="1" applyBorder="1" applyAlignment="1">
      <alignment vertical="top"/>
    </xf>
    <xf numFmtId="172" fontId="8"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172" fontId="7" fillId="0" borderId="1" xfId="0" applyNumberFormat="1" applyFont="1" applyBorder="1" applyAlignment="1">
      <alignment horizontal="right" vertical="top" wrapText="1"/>
    </xf>
    <xf numFmtId="170" fontId="8" fillId="0" borderId="1" xfId="46" applyFont="1" applyBorder="1" applyAlignment="1">
      <alignment vertical="center" wrapText="1"/>
    </xf>
    <xf numFmtId="170" fontId="8" fillId="0" borderId="1" xfId="46" applyFont="1" applyBorder="1" applyAlignment="1">
      <alignment horizontal="center" vertical="center"/>
    </xf>
    <xf numFmtId="170" fontId="7" fillId="0" borderId="1" xfId="46" applyFont="1" applyBorder="1" applyAlignment="1">
      <alignment horizontal="center" vertical="center" wrapText="1"/>
    </xf>
    <xf numFmtId="170" fontId="7" fillId="0" borderId="1" xfId="46" applyFont="1" applyBorder="1" applyAlignment="1">
      <alignment vertical="center" wrapText="1"/>
    </xf>
    <xf numFmtId="0" fontId="8" fillId="0" borderId="1" xfId="46" applyNumberFormat="1" applyFont="1" applyBorder="1" applyAlignment="1">
      <alignment horizontal="center" vertical="center"/>
    </xf>
    <xf numFmtId="4" fontId="8" fillId="0" borderId="1" xfId="46" applyNumberFormat="1" applyFont="1" applyBorder="1" applyAlignment="1">
      <alignment vertical="center"/>
    </xf>
    <xf numFmtId="169" fontId="7" fillId="0" borderId="1" xfId="46" applyNumberFormat="1" applyFont="1" applyBorder="1" applyAlignment="1">
      <alignment horizontal="center" vertical="center"/>
    </xf>
    <xf numFmtId="4" fontId="7" fillId="0" borderId="1" xfId="46" applyNumberFormat="1" applyFont="1" applyBorder="1" applyAlignment="1">
      <alignment vertical="center"/>
    </xf>
    <xf numFmtId="169" fontId="8" fillId="0" borderId="1" xfId="46" applyNumberFormat="1" applyFont="1" applyBorder="1" applyAlignment="1">
      <alignment horizontal="center" vertical="center"/>
    </xf>
    <xf numFmtId="170" fontId="8" fillId="0" borderId="1" xfId="46" applyFont="1" applyBorder="1" applyAlignment="1">
      <alignment horizontal="center" vertical="top"/>
    </xf>
    <xf numFmtId="14" fontId="8" fillId="0" borderId="1" xfId="46" applyNumberFormat="1" applyFont="1" applyBorder="1" applyAlignment="1">
      <alignment horizontal="center" vertical="center" wrapText="1"/>
    </xf>
    <xf numFmtId="176" fontId="8" fillId="0" borderId="1" xfId="46" applyNumberFormat="1" applyFont="1" applyBorder="1" applyAlignment="1">
      <alignment horizontal="center" vertical="center"/>
    </xf>
    <xf numFmtId="169" fontId="8" fillId="0" borderId="1" xfId="46" applyNumberFormat="1" applyFont="1" applyBorder="1" applyAlignment="1">
      <alignment horizontal="left" vertical="center"/>
    </xf>
    <xf numFmtId="170" fontId="7" fillId="0" borderId="1" xfId="46" applyFont="1" applyBorder="1" applyAlignment="1">
      <alignment horizontal="center" vertical="top"/>
    </xf>
    <xf numFmtId="14" fontId="7" fillId="0" borderId="1" xfId="46" applyNumberFormat="1" applyFont="1" applyBorder="1" applyAlignment="1">
      <alignment horizontal="center" vertical="center" wrapText="1"/>
    </xf>
    <xf numFmtId="1" fontId="8" fillId="0" borderId="1" xfId="46" applyNumberFormat="1" applyFont="1" applyBorder="1" applyAlignment="1">
      <alignment horizontal="center" vertical="center" shrinkToFit="1"/>
    </xf>
    <xf numFmtId="1" fontId="7" fillId="0" borderId="1" xfId="46" applyNumberFormat="1" applyFont="1" applyBorder="1" applyAlignment="1">
      <alignment horizontal="center" vertical="center" shrinkToFit="1"/>
    </xf>
    <xf numFmtId="170" fontId="7" fillId="0" borderId="1" xfId="46" applyFont="1" applyBorder="1" applyAlignment="1">
      <alignment horizontal="center" vertical="center"/>
    </xf>
    <xf numFmtId="170" fontId="8" fillId="0" borderId="1" xfId="46" applyFont="1" applyBorder="1" applyAlignment="1">
      <alignment vertical="center"/>
    </xf>
    <xf numFmtId="0" fontId="2" fillId="0" borderId="1" xfId="38" applyBorder="1" applyAlignment="1">
      <alignment horizontal="center" vertical="center" wrapText="1"/>
    </xf>
    <xf numFmtId="170" fontId="8" fillId="0" borderId="1" xfId="46" applyFont="1" applyBorder="1" applyAlignment="1">
      <alignment horizontal="center" vertical="center" wrapText="1" shrinkToFit="1"/>
    </xf>
    <xf numFmtId="169" fontId="8" fillId="0" borderId="1" xfId="46" applyNumberFormat="1" applyFont="1" applyBorder="1" applyAlignment="1">
      <alignment horizontal="center" vertical="center" wrapText="1" shrinkToFit="1"/>
    </xf>
    <xf numFmtId="212" fontId="8" fillId="0" borderId="0" xfId="0" applyNumberFormat="1" applyFont="1" applyAlignment="1">
      <alignment vertical="center"/>
    </xf>
    <xf numFmtId="0" fontId="7" fillId="0" borderId="1" xfId="5" applyFont="1" applyBorder="1" applyAlignment="1">
      <alignment vertical="center" wrapText="1"/>
    </xf>
    <xf numFmtId="40" fontId="8" fillId="0" borderId="0" xfId="0" applyNumberFormat="1" applyFont="1" applyAlignment="1">
      <alignment vertical="center"/>
    </xf>
    <xf numFmtId="213" fontId="8" fillId="0" borderId="1" xfId="0" applyNumberFormat="1" applyFont="1" applyBorder="1" applyAlignment="1">
      <alignment vertical="center"/>
    </xf>
    <xf numFmtId="213" fontId="8" fillId="0" borderId="1" xfId="0" applyNumberFormat="1" applyFont="1" applyBorder="1" applyAlignment="1">
      <alignment horizontal="right" vertical="center"/>
    </xf>
    <xf numFmtId="213" fontId="7" fillId="0" borderId="1" xfId="0" applyNumberFormat="1" applyFont="1" applyBorder="1" applyAlignment="1">
      <alignment vertical="center"/>
    </xf>
    <xf numFmtId="40" fontId="7" fillId="0" borderId="1" xfId="0" applyNumberFormat="1" applyFont="1" applyBorder="1" applyAlignment="1">
      <alignment vertical="center" wrapText="1"/>
    </xf>
    <xf numFmtId="40" fontId="7" fillId="0" borderId="1" xfId="0" applyNumberFormat="1" applyFont="1" applyBorder="1" applyAlignment="1">
      <alignment vertical="top"/>
    </xf>
    <xf numFmtId="39" fontId="7" fillId="0" borderId="1" xfId="0" applyNumberFormat="1" applyFont="1" applyBorder="1" applyAlignment="1">
      <alignment vertical="center"/>
    </xf>
    <xf numFmtId="4" fontId="25" fillId="0" borderId="1" xfId="25" applyNumberFormat="1" applyFont="1" applyBorder="1" applyAlignment="1">
      <alignment horizontal="justify" vertical="center"/>
    </xf>
    <xf numFmtId="4" fontId="25" fillId="0" borderId="1" xfId="25" applyNumberFormat="1" applyFont="1" applyBorder="1" applyAlignment="1">
      <alignment horizontal="left" vertical="center"/>
    </xf>
    <xf numFmtId="39" fontId="8" fillId="0" borderId="0" xfId="0" applyNumberFormat="1" applyFont="1" applyAlignment="1">
      <alignment vertical="center"/>
    </xf>
    <xf numFmtId="39" fontId="7" fillId="0" borderId="0" xfId="0" applyNumberFormat="1" applyFont="1" applyAlignment="1">
      <alignment vertical="center"/>
    </xf>
    <xf numFmtId="4" fontId="37" fillId="0" borderId="1" xfId="25" applyNumberFormat="1" applyFont="1" applyBorder="1" applyAlignment="1">
      <alignment horizontal="left" vertical="center"/>
    </xf>
    <xf numFmtId="170" fontId="7" fillId="0" borderId="0" xfId="0" applyFont="1" applyAlignment="1">
      <alignment horizontal="left" vertical="center"/>
    </xf>
    <xf numFmtId="170" fontId="7" fillId="0" borderId="0" xfId="0" applyFont="1" applyAlignment="1">
      <alignment horizontal="center" vertical="center"/>
    </xf>
    <xf numFmtId="170" fontId="7" fillId="2" borderId="1" xfId="0" applyFont="1" applyFill="1" applyBorder="1" applyAlignment="1">
      <alignment horizontal="center" vertical="center" wrapText="1"/>
    </xf>
    <xf numFmtId="0" fontId="7" fillId="0" borderId="0" xfId="5" applyFont="1" applyAlignment="1">
      <alignment horizontal="center" vertical="center"/>
    </xf>
    <xf numFmtId="170" fontId="8" fillId="3" borderId="11" xfId="0" applyFont="1" applyFill="1" applyBorder="1" applyAlignment="1">
      <alignment horizontal="left" vertical="center"/>
    </xf>
    <xf numFmtId="170" fontId="8" fillId="3" borderId="12" xfId="0" applyFont="1" applyFill="1" applyBorder="1" applyAlignment="1">
      <alignment horizontal="left" vertical="center"/>
    </xf>
    <xf numFmtId="0" fontId="8" fillId="0" borderId="1" xfId="5" applyFont="1" applyBorder="1" applyAlignment="1">
      <alignment horizontal="left" vertical="center"/>
    </xf>
    <xf numFmtId="170" fontId="7" fillId="0" borderId="1" xfId="0" applyFont="1" applyBorder="1" applyAlignment="1">
      <alignment horizontal="left" vertical="center" wrapText="1"/>
    </xf>
    <xf numFmtId="0" fontId="7" fillId="2" borderId="1" xfId="5" applyFont="1" applyFill="1" applyBorder="1" applyAlignment="1">
      <alignment horizontal="center" vertical="center" wrapText="1"/>
    </xf>
    <xf numFmtId="0" fontId="7" fillId="0" borderId="1" xfId="5" applyFont="1" applyBorder="1" applyAlignment="1">
      <alignment horizontal="left" vertical="center"/>
    </xf>
    <xf numFmtId="0" fontId="7" fillId="0" borderId="1" xfId="5" applyFont="1" applyBorder="1" applyAlignment="1">
      <alignment horizontal="left" vertical="center" wrapText="1"/>
    </xf>
    <xf numFmtId="0" fontId="8" fillId="0" borderId="11" xfId="5" applyFont="1" applyBorder="1" applyAlignment="1">
      <alignment horizontal="left" vertical="center"/>
    </xf>
    <xf numFmtId="0" fontId="8" fillId="0" borderId="12" xfId="5" applyFont="1" applyBorder="1" applyAlignment="1">
      <alignment horizontal="left" vertical="center"/>
    </xf>
    <xf numFmtId="170" fontId="7" fillId="2" borderId="1" xfId="0" applyFont="1" applyFill="1" applyBorder="1" applyAlignment="1">
      <alignment horizontal="center" vertical="center"/>
    </xf>
    <xf numFmtId="170" fontId="7" fillId="0" borderId="0" xfId="0" applyFont="1" applyAlignment="1">
      <alignment horizontal="left"/>
    </xf>
    <xf numFmtId="177" fontId="8" fillId="0" borderId="0" xfId="0" applyNumberFormat="1" applyFont="1" applyAlignment="1">
      <alignment horizontal="justify" vertical="top" wrapText="1"/>
    </xf>
    <xf numFmtId="170" fontId="7" fillId="2" borderId="9" xfId="0" applyFont="1" applyFill="1" applyBorder="1" applyAlignment="1">
      <alignment horizontal="center" vertical="center"/>
    </xf>
    <xf numFmtId="170" fontId="7" fillId="2" borderId="10" xfId="0" applyFont="1" applyFill="1" applyBorder="1" applyAlignment="1">
      <alignment horizontal="center" vertical="center"/>
    </xf>
    <xf numFmtId="170" fontId="7" fillId="2" borderId="9" xfId="0" applyFont="1" applyFill="1" applyBorder="1" applyAlignment="1">
      <alignment horizontal="center" vertical="center" wrapText="1"/>
    </xf>
    <xf numFmtId="170" fontId="7" fillId="2" borderId="10" xfId="0" applyFont="1" applyFill="1" applyBorder="1" applyAlignment="1">
      <alignment horizontal="center" vertical="center" wrapText="1"/>
    </xf>
    <xf numFmtId="175" fontId="7" fillId="0" borderId="0" xfId="0" applyNumberFormat="1" applyFont="1" applyAlignment="1">
      <alignment horizontal="left" vertical="center"/>
    </xf>
    <xf numFmtId="175" fontId="7" fillId="2" borderId="1" xfId="0" applyNumberFormat="1" applyFont="1" applyFill="1" applyBorder="1" applyAlignment="1">
      <alignment horizontal="center" vertical="center" wrapText="1"/>
    </xf>
    <xf numFmtId="175" fontId="7" fillId="2" borderId="1" xfId="0" applyNumberFormat="1" applyFont="1" applyFill="1" applyBorder="1" applyAlignment="1">
      <alignment horizontal="center" vertical="center"/>
    </xf>
    <xf numFmtId="173" fontId="7" fillId="2" borderId="1" xfId="0" applyNumberFormat="1" applyFont="1" applyFill="1" applyBorder="1" applyAlignment="1">
      <alignment horizontal="center" vertical="center" wrapText="1"/>
    </xf>
    <xf numFmtId="170" fontId="8" fillId="0" borderId="11" xfId="0" applyFont="1" applyBorder="1" applyAlignment="1">
      <alignment horizontal="left" vertical="center"/>
    </xf>
    <xf numFmtId="170" fontId="8" fillId="0" borderId="12" xfId="0" applyFont="1" applyBorder="1" applyAlignment="1">
      <alignment horizontal="left" vertical="center"/>
    </xf>
    <xf numFmtId="170" fontId="7" fillId="0" borderId="0" xfId="0" applyFont="1" applyAlignment="1">
      <alignment horizontal="left" vertical="center" wrapText="1"/>
    </xf>
    <xf numFmtId="170" fontId="7" fillId="2" borderId="13" xfId="0" applyFont="1" applyFill="1" applyBorder="1" applyAlignment="1">
      <alignment horizontal="center" vertical="center"/>
    </xf>
    <xf numFmtId="170" fontId="7" fillId="2" borderId="14" xfId="0" applyFont="1" applyFill="1" applyBorder="1" applyAlignment="1">
      <alignment horizontal="center" vertical="center"/>
    </xf>
    <xf numFmtId="170" fontId="7" fillId="2" borderId="7" xfId="0" applyFont="1" applyFill="1" applyBorder="1" applyAlignment="1">
      <alignment horizontal="center" vertical="center"/>
    </xf>
    <xf numFmtId="170" fontId="7" fillId="2" borderId="8" xfId="0" applyFont="1" applyFill="1" applyBorder="1" applyAlignment="1">
      <alignment horizontal="center" vertical="center"/>
    </xf>
    <xf numFmtId="170" fontId="8" fillId="0" borderId="11" xfId="0" applyFont="1" applyBorder="1" applyAlignment="1">
      <alignment horizontal="left" vertical="center" wrapText="1"/>
    </xf>
    <xf numFmtId="170" fontId="8" fillId="0" borderId="12" xfId="0" applyFont="1" applyBorder="1" applyAlignment="1">
      <alignment horizontal="left" vertical="center" wrapText="1"/>
    </xf>
    <xf numFmtId="172" fontId="7" fillId="2" borderId="1" xfId="0" applyNumberFormat="1" applyFont="1" applyFill="1" applyBorder="1" applyAlignment="1">
      <alignment horizontal="center" vertical="center" wrapText="1"/>
    </xf>
    <xf numFmtId="172" fontId="7" fillId="2" borderId="1" xfId="0" applyNumberFormat="1" applyFont="1" applyFill="1" applyBorder="1" applyAlignment="1">
      <alignment horizontal="center" vertical="center"/>
    </xf>
    <xf numFmtId="170" fontId="3" fillId="0" borderId="24" xfId="0" applyFont="1" applyBorder="1" applyAlignment="1">
      <alignment horizontal="justify" vertical="justify" wrapText="1"/>
    </xf>
    <xf numFmtId="170" fontId="3" fillId="0" borderId="14" xfId="0" applyFont="1" applyBorder="1" applyAlignment="1">
      <alignment horizontal="justify" vertical="justify" wrapText="1"/>
    </xf>
    <xf numFmtId="170" fontId="3" fillId="0" borderId="0" xfId="0" applyFont="1" applyAlignment="1">
      <alignment horizontal="justify" vertical="justify" wrapText="1"/>
    </xf>
    <xf numFmtId="170" fontId="3" fillId="0" borderId="16" xfId="0" applyFont="1" applyBorder="1" applyAlignment="1">
      <alignment horizontal="justify" vertical="justify" wrapText="1"/>
    </xf>
    <xf numFmtId="170" fontId="3" fillId="0" borderId="23" xfId="0" applyFont="1" applyBorder="1" applyAlignment="1">
      <alignment horizontal="justify" vertical="justify" wrapText="1"/>
    </xf>
    <xf numFmtId="170" fontId="3" fillId="0" borderId="8" xfId="0" applyFont="1" applyBorder="1" applyAlignment="1">
      <alignment horizontal="justify" vertical="justify" wrapText="1"/>
    </xf>
    <xf numFmtId="0" fontId="3" fillId="0" borderId="20" xfId="12" applyFont="1" applyBorder="1" applyAlignment="1">
      <alignment horizontal="left" vertical="top" wrapText="1"/>
    </xf>
    <xf numFmtId="0" fontId="3" fillId="0" borderId="21" xfId="12" applyFont="1" applyBorder="1" applyAlignment="1">
      <alignment horizontal="left" vertical="top" wrapText="1"/>
    </xf>
    <xf numFmtId="170" fontId="27" fillId="0" borderId="11" xfId="0" applyFont="1" applyBorder="1" applyAlignment="1">
      <alignment horizontal="center" vertical="center" wrapText="1"/>
    </xf>
    <xf numFmtId="170" fontId="27" fillId="0" borderId="12" xfId="0" applyFont="1" applyBorder="1" applyAlignment="1">
      <alignment horizontal="center" vertical="center" wrapText="1"/>
    </xf>
    <xf numFmtId="170" fontId="20" fillId="0" borderId="0" xfId="0" applyFont="1" applyAlignment="1">
      <alignment horizontal="justify" vertical="justify" wrapText="1"/>
    </xf>
    <xf numFmtId="170" fontId="20" fillId="0" borderId="16" xfId="0" applyFont="1" applyBorder="1" applyAlignment="1">
      <alignment horizontal="justify" vertical="justify" wrapText="1"/>
    </xf>
    <xf numFmtId="170" fontId="0" fillId="0" borderId="4" xfId="0" applyBorder="1" applyAlignment="1">
      <alignment horizontal="left" wrapText="1"/>
    </xf>
    <xf numFmtId="170" fontId="0" fillId="0" borderId="16" xfId="0" applyBorder="1" applyAlignment="1">
      <alignment horizontal="left" wrapText="1"/>
    </xf>
    <xf numFmtId="170" fontId="0" fillId="0" borderId="7" xfId="0" applyBorder="1" applyAlignment="1">
      <alignment horizontal="left" wrapText="1"/>
    </xf>
    <xf numFmtId="170" fontId="0" fillId="0" borderId="8" xfId="0" applyBorder="1" applyAlignment="1">
      <alignment horizontal="left" wrapText="1"/>
    </xf>
    <xf numFmtId="170" fontId="20" fillId="0" borderId="24" xfId="0" applyFont="1" applyBorder="1" applyAlignment="1">
      <alignment horizontal="justify" vertical="justify" wrapText="1"/>
    </xf>
    <xf numFmtId="170" fontId="20" fillId="0" borderId="14" xfId="0" applyFont="1" applyBorder="1" applyAlignment="1">
      <alignment horizontal="justify" vertical="justify" wrapText="1"/>
    </xf>
    <xf numFmtId="170" fontId="20" fillId="0" borderId="23" xfId="0" applyFont="1" applyBorder="1" applyAlignment="1">
      <alignment horizontal="justify" vertical="justify" wrapText="1"/>
    </xf>
    <xf numFmtId="170" fontId="20" fillId="0" borderId="8" xfId="0" applyFont="1" applyBorder="1" applyAlignment="1">
      <alignment horizontal="justify" vertical="justify" wrapText="1"/>
    </xf>
    <xf numFmtId="182" fontId="27" fillId="0" borderId="1" xfId="29" applyNumberFormat="1" applyFont="1" applyFill="1" applyBorder="1" applyAlignment="1">
      <alignment horizontal="center" vertical="center"/>
    </xf>
    <xf numFmtId="182" fontId="27" fillId="0" borderId="1" xfId="29" applyNumberFormat="1" applyFont="1" applyFill="1" applyBorder="1" applyAlignment="1">
      <alignment horizontal="center"/>
    </xf>
    <xf numFmtId="2" fontId="27" fillId="0" borderId="0" xfId="0" applyNumberFormat="1" applyFont="1" applyAlignment="1">
      <alignment horizontal="center" vertical="center"/>
    </xf>
    <xf numFmtId="182" fontId="3" fillId="0" borderId="0" xfId="29" applyNumberFormat="1" applyFont="1" applyFill="1" applyBorder="1" applyAlignment="1">
      <alignment horizontal="center" vertical="center" wrapText="1"/>
    </xf>
    <xf numFmtId="170" fontId="0" fillId="0" borderId="11" xfId="0" applyBorder="1" applyAlignment="1">
      <alignment horizontal="left" vertical="center"/>
    </xf>
    <xf numFmtId="170" fontId="0" fillId="0" borderId="12" xfId="0" applyBorder="1" applyAlignment="1">
      <alignment horizontal="left" vertical="center"/>
    </xf>
    <xf numFmtId="43" fontId="37" fillId="0" borderId="1" xfId="29" applyFont="1" applyFill="1" applyBorder="1" applyAlignment="1">
      <alignment horizontal="center"/>
    </xf>
    <xf numFmtId="170" fontId="18" fillId="0" borderId="11" xfId="0" applyFont="1" applyBorder="1" applyAlignment="1">
      <alignment horizontal="center" vertical="center"/>
    </xf>
    <xf numFmtId="170" fontId="18" fillId="0" borderId="12" xfId="0" applyFont="1" applyBorder="1" applyAlignment="1">
      <alignment horizontal="center" vertical="center"/>
    </xf>
    <xf numFmtId="182" fontId="3" fillId="0" borderId="1" xfId="29" applyNumberFormat="1" applyFont="1" applyFill="1" applyBorder="1" applyAlignment="1">
      <alignment horizontal="center" vertical="center"/>
    </xf>
    <xf numFmtId="170" fontId="18" fillId="0" borderId="11" xfId="0" applyFont="1" applyBorder="1" applyAlignment="1">
      <alignment horizontal="right" vertical="center"/>
    </xf>
    <xf numFmtId="170" fontId="18" fillId="0" borderId="12" xfId="0" applyFont="1" applyBorder="1" applyAlignment="1">
      <alignment horizontal="right" vertical="center"/>
    </xf>
    <xf numFmtId="170" fontId="0" fillId="0" borderId="11" xfId="0" applyBorder="1" applyAlignment="1">
      <alignment horizontal="left"/>
    </xf>
    <xf numFmtId="170" fontId="0" fillId="0" borderId="12" xfId="0" applyBorder="1" applyAlignment="1">
      <alignment horizontal="left"/>
    </xf>
    <xf numFmtId="170" fontId="18" fillId="0" borderId="23" xfId="0" applyFont="1" applyBorder="1" applyAlignment="1">
      <alignment horizontal="left"/>
    </xf>
    <xf numFmtId="170" fontId="18" fillId="0" borderId="11" xfId="0" applyFont="1" applyBorder="1" applyAlignment="1">
      <alignment horizontal="center" vertical="center" wrapText="1"/>
    </xf>
    <xf numFmtId="170" fontId="18" fillId="0" borderId="12" xfId="0" applyFont="1" applyBorder="1" applyAlignment="1">
      <alignment horizontal="center" vertical="center" wrapText="1"/>
    </xf>
    <xf numFmtId="170" fontId="3" fillId="0" borderId="11" xfId="0" applyFont="1" applyBorder="1" applyAlignment="1">
      <alignment horizontal="left" vertical="center" wrapText="1"/>
    </xf>
    <xf numFmtId="170" fontId="0" fillId="0" borderId="12" xfId="0" applyBorder="1" applyAlignment="1">
      <alignment horizontal="left" vertical="center" wrapText="1"/>
    </xf>
    <xf numFmtId="2" fontId="3" fillId="3" borderId="4" xfId="0" applyNumberFormat="1" applyFont="1" applyFill="1" applyBorder="1" applyAlignment="1">
      <alignment horizontal="center" vertical="center" wrapText="1"/>
    </xf>
    <xf numFmtId="170" fontId="0" fillId="0" borderId="11" xfId="0" applyBorder="1" applyAlignment="1">
      <alignment horizontal="left" vertical="center" wrapText="1"/>
    </xf>
    <xf numFmtId="4" fontId="18" fillId="0" borderId="1" xfId="0" applyNumberFormat="1" applyFont="1" applyBorder="1" applyAlignment="1">
      <alignment horizontal="right" vertical="center"/>
    </xf>
    <xf numFmtId="170" fontId="18" fillId="0" borderId="1" xfId="0" applyFont="1" applyBorder="1" applyAlignment="1">
      <alignment horizontal="right" vertical="center"/>
    </xf>
    <xf numFmtId="170" fontId="0" fillId="0" borderId="11" xfId="0" applyBorder="1" applyAlignment="1">
      <alignment horizontal="center" vertical="center"/>
    </xf>
    <xf numFmtId="170" fontId="0" fillId="0" borderId="12" xfId="0" applyBorder="1" applyAlignment="1">
      <alignment horizontal="center" vertical="center"/>
    </xf>
    <xf numFmtId="170" fontId="0" fillId="0" borderId="15" xfId="0" applyBorder="1" applyAlignment="1">
      <alignment horizontal="center" vertical="center"/>
    </xf>
    <xf numFmtId="170" fontId="3" fillId="0" borderId="11" xfId="0" applyFont="1" applyBorder="1" applyAlignment="1">
      <alignment horizontal="left" vertical="center"/>
    </xf>
    <xf numFmtId="170" fontId="3" fillId="0" borderId="12" xfId="0" applyFont="1" applyBorder="1" applyAlignment="1">
      <alignment horizontal="left" vertical="center"/>
    </xf>
    <xf numFmtId="43" fontId="0" fillId="0" borderId="16" xfId="29" applyFont="1" applyBorder="1" applyAlignment="1">
      <alignment horizontal="center" vertical="center" wrapText="1"/>
    </xf>
    <xf numFmtId="170" fontId="37" fillId="0" borderId="11" xfId="0" applyFont="1" applyBorder="1" applyAlignment="1">
      <alignment horizontal="center"/>
    </xf>
    <xf numFmtId="170" fontId="37" fillId="0" borderId="15" xfId="0" applyFont="1" applyBorder="1" applyAlignment="1">
      <alignment horizontal="center"/>
    </xf>
    <xf numFmtId="170" fontId="37" fillId="0" borderId="12" xfId="0" applyFont="1" applyBorder="1" applyAlignment="1">
      <alignment horizontal="center"/>
    </xf>
    <xf numFmtId="43" fontId="27" fillId="0" borderId="11" xfId="29" applyFont="1" applyBorder="1" applyAlignment="1">
      <alignment horizontal="center" vertical="center"/>
    </xf>
    <xf numFmtId="43" fontId="27" fillId="0" borderId="12" xfId="29" applyFont="1" applyBorder="1" applyAlignment="1">
      <alignment horizontal="center" vertical="center"/>
    </xf>
    <xf numFmtId="43" fontId="0" fillId="0" borderId="16" xfId="29" applyFont="1" applyBorder="1" applyAlignment="1">
      <alignment horizontal="center" vertical="center"/>
    </xf>
    <xf numFmtId="170" fontId="3" fillId="0" borderId="1" xfId="0" applyFont="1" applyBorder="1" applyAlignment="1">
      <alignment vertical="center"/>
    </xf>
    <xf numFmtId="43" fontId="3" fillId="0" borderId="1" xfId="29" applyFont="1" applyFill="1" applyBorder="1" applyAlignment="1">
      <alignment horizontal="center" vertical="center"/>
    </xf>
    <xf numFmtId="170" fontId="27" fillId="0" borderId="11" xfId="0" applyFont="1" applyBorder="1" applyAlignment="1">
      <alignment vertical="center"/>
    </xf>
    <xf numFmtId="170" fontId="23" fillId="0" borderId="12" xfId="0" applyFont="1" applyBorder="1" applyAlignment="1">
      <alignment horizontal="center" vertical="center" wrapText="1"/>
    </xf>
    <xf numFmtId="170" fontId="56" fillId="0" borderId="1" xfId="0" applyFont="1" applyBorder="1" applyAlignment="1">
      <alignment horizontal="center" vertical="center" wrapText="1"/>
    </xf>
    <xf numFmtId="43" fontId="27" fillId="0" borderId="1" xfId="29" applyFont="1" applyFill="1" applyBorder="1" applyAlignment="1">
      <alignment horizontal="center" vertical="center"/>
    </xf>
    <xf numFmtId="43" fontId="27" fillId="0" borderId="11" xfId="29" applyFont="1" applyFill="1" applyBorder="1" applyAlignment="1">
      <alignment horizontal="center" vertical="center"/>
    </xf>
    <xf numFmtId="43" fontId="27" fillId="0" borderId="12" xfId="29" applyFont="1" applyFill="1" applyBorder="1" applyAlignment="1">
      <alignment horizontal="center" vertical="center"/>
    </xf>
    <xf numFmtId="170" fontId="22" fillId="0" borderId="1" xfId="0" applyFont="1" applyBorder="1" applyAlignment="1">
      <alignment horizontal="center" vertical="center" wrapText="1"/>
    </xf>
    <xf numFmtId="170" fontId="3" fillId="0" borderId="4" xfId="0" applyFont="1" applyBorder="1" applyAlignment="1">
      <alignment horizontal="left" vertical="center" wrapText="1"/>
    </xf>
    <xf numFmtId="170" fontId="3" fillId="0" borderId="0" xfId="0" applyFont="1" applyAlignment="1">
      <alignment horizontal="left" vertical="center" wrapText="1"/>
    </xf>
    <xf numFmtId="170" fontId="3" fillId="0" borderId="16" xfId="0" applyFont="1" applyBorder="1" applyAlignment="1">
      <alignment horizontal="left" vertical="center" wrapText="1"/>
    </xf>
    <xf numFmtId="43" fontId="56" fillId="0" borderId="1" xfId="29" applyFont="1" applyFill="1" applyBorder="1" applyAlignment="1">
      <alignment horizontal="center" vertical="center"/>
    </xf>
    <xf numFmtId="4" fontId="37" fillId="0" borderId="4" xfId="25" applyNumberFormat="1" applyFont="1" applyBorder="1" applyAlignment="1">
      <alignment horizontal="center" vertical="center"/>
    </xf>
    <xf numFmtId="4" fontId="37" fillId="0" borderId="0" xfId="25" applyNumberFormat="1" applyFont="1" applyAlignment="1">
      <alignment horizontal="center" vertical="center"/>
    </xf>
    <xf numFmtId="4" fontId="37" fillId="0" borderId="16" xfId="25" applyNumberFormat="1" applyFont="1" applyBorder="1" applyAlignment="1">
      <alignment horizontal="center" vertical="center"/>
    </xf>
    <xf numFmtId="4" fontId="37" fillId="0" borderId="13" xfId="25" applyNumberFormat="1" applyFont="1" applyBorder="1" applyAlignment="1">
      <alignment horizontal="center" vertical="center"/>
    </xf>
    <xf numFmtId="4" fontId="37" fillId="0" borderId="24" xfId="25" applyNumberFormat="1" applyFont="1" applyBorder="1" applyAlignment="1">
      <alignment horizontal="center" vertical="center"/>
    </xf>
    <xf numFmtId="4" fontId="37" fillId="0" borderId="14" xfId="25" applyNumberFormat="1" applyFont="1" applyBorder="1" applyAlignment="1">
      <alignment horizontal="center" vertical="center"/>
    </xf>
    <xf numFmtId="4" fontId="37" fillId="0" borderId="4" xfId="25" quotePrefix="1" applyNumberFormat="1" applyFont="1" applyBorder="1" applyAlignment="1">
      <alignment horizontal="center" vertical="center"/>
    </xf>
    <xf numFmtId="4" fontId="37" fillId="0" borderId="0" xfId="25" quotePrefix="1" applyNumberFormat="1" applyFont="1" applyAlignment="1">
      <alignment horizontal="center" vertical="center"/>
    </xf>
    <xf numFmtId="4" fontId="37" fillId="0" borderId="16" xfId="25" quotePrefix="1" applyNumberFormat="1" applyFont="1" applyBorder="1" applyAlignment="1">
      <alignment horizontal="center" vertical="center"/>
    </xf>
    <xf numFmtId="4" fontId="37" fillId="0" borderId="4" xfId="25" applyNumberFormat="1" applyFont="1" applyBorder="1" applyAlignment="1">
      <alignment horizontal="left" vertical="center" wrapText="1"/>
    </xf>
    <xf numFmtId="4" fontId="37" fillId="0" borderId="0" xfId="25" applyNumberFormat="1" applyFont="1" applyAlignment="1">
      <alignment horizontal="left" vertical="center" wrapText="1"/>
    </xf>
    <xf numFmtId="4" fontId="25" fillId="0" borderId="4" xfId="25" applyNumberFormat="1" applyFont="1" applyBorder="1" applyAlignment="1">
      <alignment horizontal="left" vertical="center" wrapText="1"/>
    </xf>
    <xf numFmtId="4" fontId="25" fillId="0" borderId="0" xfId="25" applyNumberFormat="1" applyFont="1" applyAlignment="1">
      <alignment horizontal="left" vertical="center" wrapText="1"/>
    </xf>
    <xf numFmtId="0" fontId="91" fillId="0" borderId="1" xfId="27" applyFont="1" applyBorder="1" applyAlignment="1">
      <alignment horizontal="center" vertical="center" wrapText="1"/>
    </xf>
    <xf numFmtId="43" fontId="91" fillId="0" borderId="1" xfId="29" applyFont="1" applyFill="1" applyBorder="1" applyAlignment="1">
      <alignment horizontal="center"/>
    </xf>
    <xf numFmtId="43" fontId="98" fillId="0" borderId="0" xfId="29" applyFont="1" applyFill="1" applyBorder="1" applyAlignment="1">
      <alignment horizontal="center"/>
    </xf>
    <xf numFmtId="43" fontId="91" fillId="0" borderId="10" xfId="29" applyFont="1" applyFill="1" applyBorder="1" applyAlignment="1">
      <alignment horizontal="center"/>
    </xf>
    <xf numFmtId="43" fontId="91" fillId="0" borderId="11" xfId="29" applyFont="1" applyFill="1" applyBorder="1" applyAlignment="1">
      <alignment horizontal="center"/>
    </xf>
    <xf numFmtId="43" fontId="91" fillId="0" borderId="12" xfId="29" applyFont="1" applyFill="1" applyBorder="1" applyAlignment="1">
      <alignment horizontal="center"/>
    </xf>
    <xf numFmtId="43" fontId="91" fillId="0" borderId="11" xfId="29" applyFont="1" applyFill="1" applyBorder="1" applyAlignment="1">
      <alignment horizontal="center" vertical="center"/>
    </xf>
    <xf numFmtId="43" fontId="91" fillId="0" borderId="12" xfId="29" applyFont="1" applyFill="1" applyBorder="1" applyAlignment="1">
      <alignment horizontal="center" vertical="center"/>
    </xf>
    <xf numFmtId="0" fontId="91" fillId="0" borderId="1" xfId="27" applyFont="1" applyBorder="1" applyAlignment="1">
      <alignment horizontal="left"/>
    </xf>
    <xf numFmtId="0" fontId="90" fillId="0" borderId="4" xfId="27" applyFont="1" applyBorder="1" applyAlignment="1">
      <alignment horizontal="left" wrapText="1"/>
    </xf>
    <xf numFmtId="0" fontId="90" fillId="0" borderId="0" xfId="27" applyFont="1" applyAlignment="1">
      <alignment horizontal="left" wrapText="1"/>
    </xf>
    <xf numFmtId="0" fontId="90" fillId="0" borderId="16" xfId="27" applyFont="1" applyBorder="1" applyAlignment="1">
      <alignment horizontal="left" wrapText="1"/>
    </xf>
    <xf numFmtId="0" fontId="91" fillId="0" borderId="4" xfId="27" applyFont="1" applyBorder="1" applyAlignment="1">
      <alignment horizontal="left" wrapText="1"/>
    </xf>
    <xf numFmtId="0" fontId="91" fillId="0" borderId="0" xfId="27" applyFont="1" applyAlignment="1">
      <alignment horizontal="left" wrapText="1"/>
    </xf>
    <xf numFmtId="0" fontId="91" fillId="0" borderId="16" xfId="27" applyFont="1" applyBorder="1" applyAlignment="1">
      <alignment horizontal="left" wrapText="1"/>
    </xf>
    <xf numFmtId="183" fontId="98" fillId="0" borderId="0" xfId="29" applyNumberFormat="1" applyFont="1" applyFill="1" applyBorder="1" applyAlignment="1">
      <alignment horizontal="center"/>
    </xf>
    <xf numFmtId="0" fontId="91" fillId="0" borderId="11" xfId="27" applyFont="1" applyBorder="1" applyAlignment="1">
      <alignment horizontal="left" vertical="center" wrapText="1"/>
    </xf>
    <xf numFmtId="0" fontId="91" fillId="0" borderId="12" xfId="27" applyFont="1" applyBorder="1" applyAlignment="1">
      <alignment horizontal="left" vertical="center" wrapText="1"/>
    </xf>
    <xf numFmtId="0" fontId="21" fillId="0" borderId="0" xfId="27" applyAlignment="1">
      <alignment horizontal="left"/>
    </xf>
    <xf numFmtId="43" fontId="91" fillId="0" borderId="15" xfId="29" applyFont="1" applyFill="1" applyBorder="1" applyAlignment="1">
      <alignment horizontal="center"/>
    </xf>
    <xf numFmtId="0" fontId="90" fillId="0" borderId="23" xfId="27" applyFont="1" applyBorder="1" applyAlignment="1">
      <alignment horizontal="left" wrapText="1"/>
    </xf>
    <xf numFmtId="183" fontId="91" fillId="0" borderId="11" xfId="29" applyNumberFormat="1" applyFont="1" applyFill="1" applyBorder="1" applyAlignment="1">
      <alignment horizontal="center"/>
    </xf>
    <xf numFmtId="183" fontId="91" fillId="0" borderId="12" xfId="29" applyNumberFormat="1" applyFont="1" applyFill="1" applyBorder="1" applyAlignment="1">
      <alignment horizontal="center"/>
    </xf>
    <xf numFmtId="43" fontId="92" fillId="0" borderId="12" xfId="29" applyFont="1" applyFill="1" applyBorder="1" applyAlignment="1">
      <alignment horizontal="center"/>
    </xf>
    <xf numFmtId="43" fontId="92" fillId="0" borderId="1" xfId="29" applyFont="1" applyFill="1" applyBorder="1" applyAlignment="1">
      <alignment horizontal="center"/>
    </xf>
    <xf numFmtId="43" fontId="81" fillId="0" borderId="15" xfId="27" applyNumberFormat="1" applyFont="1" applyBorder="1" applyAlignment="1">
      <alignment horizontal="center" vertical="center"/>
    </xf>
    <xf numFmtId="0" fontId="81" fillId="0" borderId="12" xfId="27" applyFont="1" applyBorder="1" applyAlignment="1">
      <alignment horizontal="center" vertical="center"/>
    </xf>
    <xf numFmtId="43" fontId="77" fillId="0" borderId="11" xfId="29" applyFont="1" applyFill="1" applyBorder="1" applyAlignment="1">
      <alignment horizontal="center" vertical="center"/>
    </xf>
    <xf numFmtId="43" fontId="77" fillId="0" borderId="12" xfId="29" applyFont="1" applyFill="1" applyBorder="1" applyAlignment="1">
      <alignment horizontal="center" vertical="center"/>
    </xf>
    <xf numFmtId="0" fontId="81" fillId="0" borderId="13" xfId="27" applyFont="1" applyBorder="1" applyAlignment="1">
      <alignment horizontal="center" vertical="center" wrapText="1"/>
    </xf>
    <xf numFmtId="0" fontId="81" fillId="0" borderId="7" xfId="27" applyFont="1" applyBorder="1" applyAlignment="1">
      <alignment horizontal="center" vertical="center" wrapText="1"/>
    </xf>
    <xf numFmtId="43" fontId="74" fillId="0" borderId="9" xfId="29" applyFont="1" applyFill="1" applyBorder="1" applyAlignment="1">
      <alignment horizontal="center" vertical="center" wrapText="1"/>
    </xf>
    <xf numFmtId="43" fontId="74" fillId="0" borderId="10" xfId="29" applyFont="1" applyFill="1" applyBorder="1" applyAlignment="1">
      <alignment horizontal="center" vertical="center" wrapText="1"/>
    </xf>
    <xf numFmtId="0" fontId="71" fillId="0" borderId="23" xfId="20" applyFont="1" applyBorder="1" applyAlignment="1">
      <alignment horizontal="left" vertical="center" wrapText="1"/>
    </xf>
    <xf numFmtId="0" fontId="72" fillId="0" borderId="1" xfId="20" applyFont="1" applyBorder="1" applyAlignment="1">
      <alignment horizontal="center" vertical="center" wrapText="1"/>
    </xf>
    <xf numFmtId="183" fontId="73" fillId="0" borderId="15" xfId="29" applyNumberFormat="1" applyFont="1" applyFill="1" applyBorder="1" applyAlignment="1">
      <alignment horizontal="right" vertical="top" wrapText="1"/>
    </xf>
    <xf numFmtId="183" fontId="73" fillId="0" borderId="12" xfId="29" applyNumberFormat="1" applyFont="1" applyFill="1" applyBorder="1" applyAlignment="1">
      <alignment horizontal="right" vertical="top" wrapText="1"/>
    </xf>
    <xf numFmtId="43" fontId="74" fillId="0" borderId="11" xfId="29" applyFont="1" applyFill="1" applyBorder="1" applyAlignment="1">
      <alignment horizontal="center" vertical="center" wrapText="1"/>
    </xf>
    <xf numFmtId="43" fontId="74" fillId="0" borderId="12" xfId="29" applyFont="1" applyFill="1" applyBorder="1" applyAlignment="1">
      <alignment horizontal="center" vertical="center" wrapText="1"/>
    </xf>
    <xf numFmtId="2" fontId="74" fillId="0" borderId="9" xfId="29" applyNumberFormat="1" applyFont="1" applyFill="1" applyBorder="1" applyAlignment="1">
      <alignment horizontal="center" vertical="center" wrapText="1"/>
    </xf>
    <xf numFmtId="2" fontId="74" fillId="0" borderId="10" xfId="29" applyNumberFormat="1" applyFont="1" applyFill="1" applyBorder="1" applyAlignment="1">
      <alignment horizontal="center" vertical="center" wrapText="1"/>
    </xf>
    <xf numFmtId="43" fontId="74" fillId="0" borderId="14" xfId="29" applyFont="1" applyFill="1" applyBorder="1" applyAlignment="1">
      <alignment horizontal="center" vertical="center" wrapText="1"/>
    </xf>
    <xf numFmtId="43" fontId="74" fillId="0" borderId="8" xfId="29" applyFont="1" applyFill="1" applyBorder="1" applyAlignment="1">
      <alignment horizontal="center" vertical="center" wrapText="1"/>
    </xf>
    <xf numFmtId="170" fontId="25" fillId="0" borderId="1" xfId="0" applyFont="1" applyBorder="1" applyAlignment="1">
      <alignment horizontal="justify" vertical="justify" wrapText="1"/>
    </xf>
    <xf numFmtId="170" fontId="25" fillId="0" borderId="10" xfId="0" applyFont="1" applyBorder="1" applyAlignment="1">
      <alignment horizontal="justify" vertical="justify" wrapText="1"/>
    </xf>
    <xf numFmtId="0" fontId="1" fillId="0" borderId="0" xfId="42" applyAlignment="1">
      <alignment horizontal="left" vertical="top" wrapText="1"/>
    </xf>
    <xf numFmtId="0" fontId="99" fillId="0" borderId="0" xfId="43" applyFont="1" applyAlignment="1">
      <alignment horizontal="center"/>
    </xf>
    <xf numFmtId="0" fontId="1" fillId="0" borderId="1" xfId="43" applyBorder="1" applyAlignment="1">
      <alignment horizontal="center" vertical="center" wrapText="1"/>
    </xf>
    <xf numFmtId="0" fontId="1" fillId="0" borderId="9" xfId="43" applyBorder="1" applyAlignment="1">
      <alignment horizontal="center" vertical="center" wrapText="1"/>
    </xf>
    <xf numFmtId="0" fontId="1" fillId="0" borderId="9" xfId="43" applyBorder="1" applyAlignment="1">
      <alignment vertical="center" wrapText="1"/>
    </xf>
    <xf numFmtId="0" fontId="1" fillId="0" borderId="2" xfId="43" applyBorder="1" applyAlignment="1">
      <alignment vertical="center" wrapText="1"/>
    </xf>
    <xf numFmtId="170" fontId="7" fillId="3" borderId="1" xfId="0" applyFont="1" applyFill="1" applyBorder="1" applyAlignment="1">
      <alignment horizontal="center" vertical="center" wrapText="1"/>
    </xf>
    <xf numFmtId="170" fontId="7" fillId="3" borderId="1" xfId="0" applyFont="1" applyFill="1" applyBorder="1" applyAlignment="1">
      <alignment horizontal="center" vertical="center"/>
    </xf>
  </cellXfs>
  <cellStyles count="47">
    <cellStyle name="Comma" xfId="1" builtinId="3"/>
    <cellStyle name="Comma 10 10 3 2" xfId="33"/>
    <cellStyle name="Comma 13" xfId="39"/>
    <cellStyle name="Comma 2" xfId="2"/>
    <cellStyle name="Comma 3" xfId="29"/>
    <cellStyle name="Comma 3 2" xfId="26"/>
    <cellStyle name="Comma 3 2 10" xfId="35"/>
    <cellStyle name="Comma 30" xfId="41"/>
    <cellStyle name="Comma 34" xfId="32"/>
    <cellStyle name="Comma 4" xfId="23"/>
    <cellStyle name="Comma 5" xfId="11"/>
    <cellStyle name="Comma 5 61" xfId="13"/>
    <cellStyle name="Comma 6 3" xfId="24"/>
    <cellStyle name="Hyperlink" xfId="10" builtinId="8"/>
    <cellStyle name="Hyperlink 2" xfId="3"/>
    <cellStyle name="Normal" xfId="0" builtinId="0"/>
    <cellStyle name="Normal 11 2 2" xfId="17"/>
    <cellStyle name="Normal 112 3" xfId="38"/>
    <cellStyle name="Normal 112 3 3" xfId="43"/>
    <cellStyle name="Normal 141" xfId="42"/>
    <cellStyle name="Normal 160" xfId="19"/>
    <cellStyle name="Normal 161 2" xfId="28"/>
    <cellStyle name="Normal 161 2 2" xfId="31"/>
    <cellStyle name="Normal 161 2 2 3" xfId="36"/>
    <cellStyle name="Normal 161 2 4" xfId="34"/>
    <cellStyle name="Normal 165" xfId="15"/>
    <cellStyle name="Normal 2" xfId="4"/>
    <cellStyle name="Normal 2 2" xfId="5"/>
    <cellStyle name="Normal 21" xfId="12"/>
    <cellStyle name="Normal 21 2 2" xfId="20"/>
    <cellStyle name="Normal 21 3 2" xfId="22"/>
    <cellStyle name="Normal 23" xfId="25"/>
    <cellStyle name="Normal 26 2" xfId="21"/>
    <cellStyle name="Normal 3" xfId="6"/>
    <cellStyle name="Normal 3 2" xfId="7"/>
    <cellStyle name="Normal 43 3 3" xfId="44"/>
    <cellStyle name="Normal 43 3 3 2 2" xfId="30"/>
    <cellStyle name="Normal 43 3 3 2 2 4" xfId="37"/>
    <cellStyle name="Normal 5" xfId="8"/>
    <cellStyle name="Normal 54" xfId="46"/>
    <cellStyle name="Normal 57 3 3" xfId="45"/>
    <cellStyle name="Normal 63" xfId="16"/>
    <cellStyle name="Normal 76" xfId="18"/>
    <cellStyle name="Normal_LOAN Revised SCH VI" xfId="14"/>
    <cellStyle name="Normal_Share Capital 11-12 " xfId="27"/>
    <cellStyle name="Percent" xfId="9" builtinId="5"/>
    <cellStyle name="Percent 13" xfId="40"/>
  </cellStyles>
  <dxfs count="6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externalLink" Target="externalLinks/externalLink11.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externalLink" Target="externalLinks/externalLink14.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20" Type="http://schemas.openxmlformats.org/officeDocument/2006/relationships/worksheet" Target="worksheets/sheet20.xml"/><Relationship Id="rId41" Type="http://schemas.openxmlformats.org/officeDocument/2006/relationships/externalLink" Target="externalLinks/externalLink2.xml"/><Relationship Id="rId54"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0.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externalLink" Target="externalLinks/externalLink13.xml"/></Relationships>
</file>

<file path=xl/drawings/drawing1.xml><?xml version="1.0" encoding="utf-8"?>
<xdr:wsDr xmlns:xdr="http://schemas.openxmlformats.org/drawingml/2006/spreadsheetDrawing" xmlns:a="http://schemas.openxmlformats.org/drawingml/2006/main">
  <xdr:twoCellAnchor>
    <xdr:from>
      <xdr:col>5</xdr:col>
      <xdr:colOff>178594</xdr:colOff>
      <xdr:row>62</xdr:row>
      <xdr:rowOff>69453</xdr:rowOff>
    </xdr:from>
    <xdr:to>
      <xdr:col>6</xdr:col>
      <xdr:colOff>158750</xdr:colOff>
      <xdr:row>72</xdr:row>
      <xdr:rowOff>138906</xdr:rowOff>
    </xdr:to>
    <xdr:cxnSp macro="">
      <xdr:nvCxnSpPr>
        <xdr:cNvPr id="2" name="Straight Arrow Connector 1">
          <a:extLst>
            <a:ext uri="{FF2B5EF4-FFF2-40B4-BE49-F238E27FC236}">
              <a16:creationId xmlns:a16="http://schemas.microsoft.com/office/drawing/2014/main" id="{00000000-0008-0000-0B00-000003000000}"/>
            </a:ext>
          </a:extLst>
        </xdr:cNvPr>
        <xdr:cNvCxnSpPr/>
      </xdr:nvCxnSpPr>
      <xdr:spPr>
        <a:xfrm flipH="1">
          <a:off x="8674894" y="10039350"/>
          <a:ext cx="1427956" cy="9199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OFFSHORE\USERS\NARESH\FIN\HALFYEAR\CONB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nank\d\Finance\ProjAcc\Essar\BH\ESSAR\Exposure\PO-B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0.96.15\Account%20&amp;%20Taxation\Accounts\Gujarat%20Gas%20Consolidated\GGL%202015-16\GGL%2015-6%20Q-3\Consolidated%20Merged%20BS%202015-16-%20Dec%2015%20-%20V2%20with%20BS%20regroupin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mahagencoo365-my.sharepoint.com/Users/00008906/OneDrive%20-%20Maharashtra%20State%20Power%20Generation%20Co.%20Ltd/File%2035%20Capex/05.%20True%20up/2019-20/From%20Stations/07.%20Parli/Last%20Year%20Q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1\wordxl\CAMELLIA\Statutory%20Audits\Audit%202005-06\01%20%20Camellia%20Clothing%20Limited\B.%20%20Tax%20Audit%202005-06\PP_Master%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oonam\c\My%20Documents\MIS%202004-05\PAP\MONTHLY%20FILES%20PHPL\MAR%2005\PAP%20MAR%2005%20BOOK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OneDrive%20-%20Maharashtra%20State%20Power%20Generation%20Co.%20Ltd\Share%20Folder%20CA%20Section\F.Y.%202022-23\Final%20Accounts%202022-23\Final%20Accounts%20FY%202022-23%20%20%2008.09.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rain\sys\SYSTEM\MSOFFICE\EXCEL\SALED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GPGADACCGEMD06\GGL\GGL%20quarters\GGL%20Ind%20AS%20FS%20Template%20%2001%2006%202016-OBS%20format%20v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ankaj\d\GIPL\Audit%20A.Y.%202007-08\06-09-07\asset12foritde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rain\sys\SYSTEM\MSOFFICE\EXCEL\SALESTK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ahagencoo365-my.sharepoint.com/Users/00008906/OneDrive%20-%20Maharashtra%20State%20Power%20Generation%20Co.%20Ltd/File%2035%20Capex/05.%20True%20up/2019-20/From%20Stations/07.%20Parli/01-Balance%20sheet-IGAAP_AdaniEnt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inank\d\Finance\ProjAcc\Essar\BH\ESSAR\CR-SUPLY.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221055%20Sundry%20Debtors%20and%20Unbilled%20Revenue%20Combined%20Leadsheet"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skrlnas\desktop5$\HGPL%20FIN%20(ESTL%20FORMAT)%20%20-%20MAR%202006%20-%20updated%2027TH%20%20JUNE%2006%20-%20CAPITAL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R"/>
      <sheetName val="BALANCE_SHEET"/>
      <sheetName val="fcl"/>
      <sheetName val="BALANCE_SHEET1"/>
      <sheetName val="BALANCE_SHEET2"/>
      <sheetName val="BALANCE_SHEET3"/>
      <sheetName val="77S(O)"/>
      <sheetName val="CONBS"/>
      <sheetName val="expired"/>
      <sheetName val="DURGESH"/>
      <sheetName val="04REL"/>
      <sheetName val="01.11.2004"/>
      <sheetName val="TRIALBALANCE"/>
      <sheetName val="BALANCE_SHEET4"/>
      <sheetName val="Risks of material misstatement"/>
      <sheetName val="BALANCE_SHEET5"/>
      <sheetName val="1.Loans Control Chart- Mar 2007"/>
      <sheetName val="BALANCE_SHEET6"/>
      <sheetName val="Scheme"/>
      <sheetName val="Chart-Major customer"/>
      <sheetName val="ROMM Data for Validation"/>
      <sheetName val="Trial Report"/>
      <sheetName val="License Area"/>
      <sheetName val="Validation Details"/>
      <sheetName val="Data from Access"/>
      <sheetName val="Material "/>
      <sheetName val="Labour &amp; Plant"/>
      <sheetName val="summary"/>
      <sheetName val="PTIN03"/>
      <sheetName val="BALANCE_SHEET7"/>
      <sheetName val="Risks_of_material_misstatement"/>
      <sheetName val="1_Loans_Control_Chart-_Mar_2007"/>
      <sheetName val="ROMM_Data_for_Validation"/>
      <sheetName val="Validation_Details"/>
      <sheetName val="Data_from_Access"/>
      <sheetName val="Instructions"/>
      <sheetName val="BS "/>
      <sheetName val="ANUAL PLAN"/>
      <sheetName val="Allahabad Bank"/>
      <sheetName val="Bank of Baroda"/>
      <sheetName val="BOI"/>
      <sheetName val="Canara"/>
      <sheetName val="Indian"/>
      <sheetName val="IDBI"/>
      <sheetName val="IOB"/>
      <sheetName val="PNB"/>
      <sheetName val="Punjab &amp; Sind"/>
      <sheetName val="SBHyderabad"/>
      <sheetName val="SBI"/>
      <sheetName val="SBMysore"/>
      <sheetName val="SBPatiala"/>
      <sheetName val="SBSaurashtra"/>
      <sheetName val="Union Bank"/>
      <sheetName val="Ins Erection"/>
      <sheetName val="plbs"/>
      <sheetName val="FitOutConfCentre"/>
      <sheetName val="Accounts"/>
      <sheetName val="Sheet2"/>
      <sheetName val="Top Sheet"/>
      <sheetName val="2005"/>
      <sheetName val="P&amp;L"/>
      <sheetName val="BALANCE-SHEET"/>
      <sheetName val="sdrs_mar"/>
      <sheetName val="tb, p&amp;l, bs"/>
      <sheetName val="data"/>
      <sheetName val="ACK-NEW"/>
      <sheetName val="x-rate"/>
      <sheetName val="Les Cèdres"/>
      <sheetName val="COMPLEXALL"/>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r-1"/>
      <sheetName val="insur-2 (closed)"/>
      <sheetName val="pa-mtly"/>
      <sheetName val="po log ssb"/>
      <sheetName val="po log ssb incl cc"/>
      <sheetName val="recon"/>
      <sheetName val="data-g"/>
      <sheetName val="graph"/>
      <sheetName val="x-rate"/>
      <sheetName val="Est. Outflows"/>
      <sheetName val="Settlements"/>
      <sheetName val="ON HOLD - PA &amp; 2.7"/>
      <sheetName val="Sheet2"/>
      <sheetName val="Input"/>
      <sheetName val="sum"/>
      <sheetName val="Sheet3 (2)"/>
      <sheetName val="a-4"/>
      <sheetName val="insur-2_(closed)"/>
      <sheetName val="po_log_ssb"/>
      <sheetName val="po_log_ssb_incl_cc"/>
      <sheetName val="Est__Outflows"/>
      <sheetName val="ON_HOLD_-_PA_&amp;_2_7"/>
      <sheetName val="FUEL_&amp;_LOSS"/>
      <sheetName val="insur-2_(closed)1"/>
      <sheetName val="po_log_ssb1"/>
      <sheetName val="po_log_ssb_incl_cc1"/>
      <sheetName val="Est__Outflows1"/>
      <sheetName val="ON_HOLD_-_PA_&amp;_2_71"/>
      <sheetName val="insur-2_(closed)2"/>
      <sheetName val="po_log_ssb2"/>
      <sheetName val="po_log_ssb_incl_cc2"/>
      <sheetName val="Est__Outflows2"/>
      <sheetName val="ON_HOLD_-_PA_&amp;_2_72"/>
      <sheetName val="insur-2_(closed)3"/>
      <sheetName val="po_log_ssb3"/>
      <sheetName val="po_log_ssb_incl_cc3"/>
      <sheetName val="Est__Outflows3"/>
      <sheetName val="ON_HOLD_-_PA_&amp;_2_73"/>
      <sheetName val="Sheet3_(2)"/>
      <sheetName val="Links"/>
      <sheetName val="1612.01AN(7) - Niep Tds Summary"/>
      <sheetName val="diff on tic &amp; po"/>
      <sheetName val="insur-2"/>
      <sheetName val="retention"/>
      <sheetName val="PO-BH"/>
      <sheetName val="77S(O)"/>
      <sheetName val="310480 as on 311207"/>
      <sheetName val="diff_on_tic_&amp;_po"/>
      <sheetName val="diff_on_tic_&amp;_po1"/>
      <sheetName val="diff_on_tic_&amp;_po2"/>
      <sheetName val="insur-2_(closed)4"/>
      <sheetName val="po_log_ssb4"/>
      <sheetName val="po_log_ssb_incl_cc4"/>
      <sheetName val="Est__Outflows4"/>
      <sheetName val="ON_HOLD_-_PA_&amp;_2_74"/>
      <sheetName val="Sheet3_(2)1"/>
      <sheetName val="diff_on_tic_&amp;_po3"/>
      <sheetName val="310480_as_on_311207"/>
      <sheetName val="1612_01AN(7)_-_Niep_Tds_Summary"/>
      <sheetName val="Marh__Prfl_01"/>
      <sheetName val="Params"/>
      <sheetName val="A 3.7"/>
      <sheetName val="FOIL"/>
      <sheetName val="GRIR REF DEC 07"/>
      <sheetName val="diff_on_tic_&amp;_po4"/>
      <sheetName val="310480_as_on_3112071"/>
      <sheetName val="GRIR_REF_DEC_07"/>
      <sheetName val="insur-2_(closed)5"/>
      <sheetName val="diff_on_tic_&amp;_po5"/>
      <sheetName val="po_log_ssb5"/>
      <sheetName val="po_log_ssb_incl_cc5"/>
      <sheetName val="Est__Outflows5"/>
      <sheetName val="310480_as_on_3112072"/>
      <sheetName val="GRIR_REF_DEC_071"/>
      <sheetName val="ON_HOLD_-_PA_&amp;_2_75"/>
      <sheetName val="Sheet3_(2)2"/>
      <sheetName val="1612_01AN(7)_-_Niep_Tds_Summar1"/>
      <sheetName val="Inc.St.-Link"/>
      <sheetName val="cap gains"/>
      <sheetName val="Chiet tinh"/>
      <sheetName val="Anex. A &amp; B"/>
      <sheetName val="Cost assmpts"/>
      <sheetName val="P&amp;L"/>
      <sheetName val="SCH"/>
      <sheetName val="Main Bs Cr"/>
      <sheetName val="Other"/>
      <sheetName val="Schedules"/>
      <sheetName val="SLIDES FOR STATUS REPORT"/>
      <sheetName val="REL"/>
      <sheetName val="Grouping TB"/>
      <sheetName val="2007"/>
      <sheetName val="Working3"/>
      <sheetName val="Working2"/>
      <sheetName val="Variables"/>
      <sheetName val="Tax Details"/>
      <sheetName val="Agency BS"/>
      <sheetName val="Valuation Summary"/>
      <sheetName val="Index"/>
      <sheetName val="Comp"/>
      <sheetName val="P&amp;L-31.3.99"/>
      <sheetName val="FF-2"/>
      <sheetName val="Blue Team 6.4.04"/>
      <sheetName val="Ranges"/>
      <sheetName val="Options with totals"/>
      <sheetName val="Classification"/>
      <sheetName val="FY96 CB Div Pool "/>
      <sheetName val="Reserves &amp; Surplus"/>
      <sheetName val="Other Expenses"/>
      <sheetName val="Labour &amp; Plant"/>
      <sheetName val="Column L1 to L2"/>
      <sheetName val="Column L2 to L3"/>
      <sheetName val="BEAM"/>
      <sheetName val="RAMP 3"/>
      <sheetName val="RAMP 1"/>
      <sheetName val="staircase"/>
      <sheetName val="R_Wall"/>
      <sheetName val="Column B1 to L1"/>
      <sheetName val="Slab L1"/>
      <sheetName val="Slab L2"/>
      <sheetName val="Fill this out first..."/>
      <sheetName val="REVENUES &amp; BS"/>
      <sheetName val="POWER-08"/>
      <sheetName val="A"/>
      <sheetName val="Sheet3"/>
      <sheetName val="Codes"/>
      <sheetName val="CST Reconciliation"/>
      <sheetName val="GrossMgn 98"/>
      <sheetName val="PopCache"/>
      <sheetName val="TAB 1"/>
      <sheetName val="2.Control Sheet"/>
      <sheetName val="Profit Reco"/>
      <sheetName val="Stores"/>
      <sheetName val="AnnexIII"/>
      <sheetName val="Inter unit set off"/>
      <sheetName val="List of Rem Entries PY"/>
      <sheetName val="Lead"/>
      <sheetName val="bs-schedule"/>
      <sheetName val="P2 RM"/>
      <sheetName val="Total"/>
      <sheetName val="costing"/>
      <sheetName val="Performance Report"/>
      <sheetName val="RA-markate"/>
      <sheetName val="Cat A Change Control"/>
      <sheetName val="Operating Statistics"/>
      <sheetName val="Org 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refreshError="1"/>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15"/>
      <sheetName val="pending points"/>
      <sheetName val="Tax Provision (2)"/>
      <sheetName val="Instruction Sheet"/>
      <sheetName val="Pivot of TB"/>
      <sheetName val="TB CY"/>
      <sheetName val="3.CF (New)"/>
      <sheetName val="Sheet1"/>
      <sheetName val="Sheet2"/>
      <sheetName val="Sheet3"/>
      <sheetName val="Sheet5"/>
      <sheetName val="Tally TB"/>
      <sheetName val="GSPC Gas Dec 15"/>
      <sheetName val="Deleted"/>
      <sheetName val="Ind AS Mapping (2)"/>
      <sheetName val="TB Sheet"/>
      <sheetName val="1. Bal Sheet"/>
      <sheetName val="Tax Provision"/>
      <sheetName val="2. Prof &amp;L"/>
      <sheetName val="Sheet4"/>
      <sheetName val="3.CF "/>
      <sheetName val="Equity"/>
      <sheetName val="5.BS Notes"/>
      <sheetName val="4.1 LTBorrowings1"/>
      <sheetName val="4.2 MTBorrowings2"/>
      <sheetName val="12 FA Sch in Crores"/>
      <sheetName val="6.PL Notes"/>
      <sheetName val="12 FA Sch Jun15"/>
      <sheetName val="12.1 CWIP"/>
      <sheetName val="CF working"/>
      <sheetName val="GSPC Borrowing sch"/>
      <sheetName val="5.2 31.12.15"/>
      <sheetName val="Note 13.1"/>
      <sheetName val="Note 16"/>
      <sheetName val="NOTE 34 QTY"/>
      <sheetName val="Other notes 35 to 40"/>
      <sheetName val="Note 41 EB"/>
      <sheetName val="Note 42 ESOP"/>
      <sheetName val="43 Related Parties"/>
      <sheetName val="Other notes 44 to 49"/>
      <sheetName val="Merger note"/>
      <sheetName val="RMC"/>
      <sheetName val="Data"/>
      <sheetName val="Trial Balance - MARCH 2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Wise Dec"/>
      <sheetName val="Plant Wise Nov"/>
      <sheetName val="Plant Wise oct"/>
      <sheetName val="Plant Wise sep"/>
      <sheetName val="Plant Wise aug"/>
      <sheetName val="Plant Wise jul"/>
      <sheetName val="CCR chpd"/>
      <sheetName val="CCR"/>
      <sheetName val="CCR pip"/>
      <sheetName val="ACP"/>
      <sheetName val="Refinery"/>
      <sheetName val="Prod &amp; sales"/>
      <sheetName val="Last Year QD"/>
      <sheetName val="#REF"/>
      <sheetName val="REFNCOMPARE"/>
      <sheetName val="Details"/>
      <sheetName val="Variables"/>
      <sheetName val="Schedules PL"/>
      <sheetName val="Schedules BS"/>
      <sheetName val="BS"/>
      <sheetName val="Interest 30-11-01 not PA 7%"/>
      <sheetName val="x-rate"/>
      <sheetName val="TRIAL BALANCE"/>
      <sheetName val="PROC "/>
      <sheetName val="Share Performance"/>
      <sheetName val="1612.01AN(7) - Niep Tds Summary"/>
      <sheetName val="HBI NCD"/>
      <sheetName val="CONTANGO"/>
      <sheetName val="margin."/>
      <sheetName val="lot no 86"/>
      <sheetName val="proposallinked"/>
      <sheetName val="04REL"/>
      <sheetName val="Financials"/>
      <sheetName val="capg"/>
      <sheetName val="TBAL9697 -group wise  sdpl"/>
      <sheetName val="TB9899"/>
      <sheetName val="INDEPENDENT"/>
      <sheetName val="Fed'l Taxable Inc"/>
      <sheetName val="Customize Your Purchase Order"/>
      <sheetName val="SEL_Assumptions"/>
      <sheetName val="Output"/>
      <sheetName val="UNP-NCW "/>
      <sheetName val="Recon-Coal"/>
      <sheetName val="Master Sheet - ODC 2002-03"/>
      <sheetName val="Liabilities"/>
      <sheetName val="Input"/>
      <sheetName val="Financial Information"/>
      <sheetName val="PPE &amp; IA - CY"/>
      <sheetName val="COLUMN-CR"/>
      <sheetName val="4.Grouping - Balance Sheet(mio)"/>
      <sheetName val="Clause 9"/>
      <sheetName val="MAINBS1"/>
      <sheetName val="SEL_FS-A"/>
      <sheetName val="REPL_FS-A"/>
      <sheetName val="REPL_Workings"/>
      <sheetName val="Timesheet"/>
      <sheetName val="CAS P"/>
      <sheetName val="Sheet1"/>
      <sheetName val="B'Sheet"/>
      <sheetName val="Asmp"/>
      <sheetName val="Key assumptions"/>
      <sheetName val="Bank Charges"/>
      <sheetName val="Labour"/>
      <sheetName val="Mfg &amp; Admin Exps"/>
      <sheetName val="Salary"/>
      <sheetName val="Groupings to Sch"/>
      <sheetName val="A"/>
      <sheetName val="Main Equ. List"/>
      <sheetName val="INDIVID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DR"/>
      <sheetName val="DR-Anx"/>
      <sheetName val="AR"/>
      <sheetName val="CARO"/>
      <sheetName val="CAROApp"/>
      <sheetName val="BS"/>
      <sheetName val="PL"/>
      <sheetName val="FundFlow"/>
      <sheetName val="Instructions"/>
      <sheetName val="BSSch"/>
      <sheetName val="FASch"/>
      <sheetName val="PLSch"/>
      <sheetName val="Notes"/>
      <sheetName val="PartIV"/>
      <sheetName val="GR-BS"/>
      <sheetName val="GR-PL"/>
      <sheetName val="AS22"/>
      <sheetName val="115JB"/>
      <sheetName val="115JB-Anx"/>
      <sheetName val="3CA"/>
      <sheetName val="3CA-Anx"/>
      <sheetName val="3CD"/>
      <sheetName val="145A-Exclusive"/>
      <sheetName val="145-Incusive"/>
      <sheetName val="3CD-145A-Anx"/>
      <sheetName val="3CD-Dep-Anx"/>
      <sheetName val="3CD-40A(3)-Anx"/>
      <sheetName val="3CD-40A(2)(b)-Anx"/>
      <sheetName val="3CD-269SS-T-Anx"/>
      <sheetName val="3CD-CFLoss-Anx"/>
      <sheetName val="3CD-Ratios-Anx "/>
      <sheetName val="Names"/>
      <sheetName val="IT"/>
      <sheetName val="Masters"/>
      <sheetName val="Details"/>
      <sheetName val="REFNCOMPARE"/>
      <sheetName val="Ref"/>
      <sheetName val="Operating and Capital Scenarios"/>
      <sheetName val="deferred taxes"/>
      <sheetName val="AV"/>
      <sheetName val="Storage"/>
      <sheetName val="RelR"/>
      <sheetName val="Sheet2"/>
      <sheetName val="Allahabad Bank"/>
      <sheetName val="Bank of Baroda"/>
      <sheetName val="BOI"/>
      <sheetName val="Canara"/>
      <sheetName val="Indian"/>
      <sheetName val="IDBI"/>
      <sheetName val="IOB"/>
      <sheetName val="PNB"/>
      <sheetName val="Punjab &amp; Sind"/>
      <sheetName val="SBHyderabad"/>
      <sheetName val="SBI"/>
      <sheetName val="SBMysore"/>
      <sheetName val="SBPatiala"/>
      <sheetName val="SBSaurashtra"/>
      <sheetName val="Union Bank"/>
      <sheetName val="3CD-Ratios-Anx_1"/>
      <sheetName val="Operating_and_Capital_Scenario1"/>
      <sheetName val="deferred_taxes1"/>
      <sheetName val="3CD-Ratios-Anx_"/>
      <sheetName val="Operating_and_Capital_Scenarios"/>
      <sheetName val="deferred_taxes"/>
      <sheetName val="Admin"/>
      <sheetName val="CRUDE UPDATE"/>
      <sheetName val="Input"/>
      <sheetName val="Valuation"/>
      <sheetName val="IRR"/>
      <sheetName val="Assumptions"/>
      <sheetName val="Q4FY02"/>
      <sheetName val="b"/>
      <sheetName val="EXCH"/>
      <sheetName val="Sheet1"/>
      <sheetName val="old_serial no."/>
      <sheetName val="tot_ass_9697"/>
      <sheetName val="B S-31-3-2006"/>
      <sheetName val="Data"/>
      <sheetName val="Elect."/>
      <sheetName val="Revenue-Invoicewise"/>
      <sheetName val="a-4"/>
      <sheetName val="Input Sheet"/>
      <sheetName val="FAR co Tangible"/>
      <sheetName val="Sheet3"/>
      <sheetName val="SALE&amp;COST"/>
      <sheetName val="Allocate"/>
      <sheetName val="Variables"/>
      <sheetName val="TB Mar 09"/>
      <sheetName val="«"/>
      <sheetName val="»"/>
      <sheetName val="Assets"/>
      <sheetName val="Cash Flow"/>
      <sheetName val="Profit&amp;Loss"/>
      <sheetName val="Debt"/>
      <sheetName val="Balance Sheet Grouping"/>
      <sheetName val="Settings"/>
      <sheetName val="Inv - Revenue registry for PoC"/>
      <sheetName val="AFFI内訳"/>
      <sheetName val="PP_Master Template"/>
      <sheetName val="15"/>
      <sheetName val="NN"/>
      <sheetName val="API"/>
      <sheetName val="NCE"/>
      <sheetName val="EU"/>
      <sheetName val="Latam"/>
      <sheetName val="ROW"/>
      <sheetName val="Inputs"/>
      <sheetName val="Database"/>
      <sheetName val="F&amp;B"/>
      <sheetName val="#REF"/>
      <sheetName val="Maint"/>
      <sheetName val="Kitchen"/>
      <sheetName val="Housek"/>
      <sheetName val="GuestProfile"/>
      <sheetName val="CG_OS"/>
      <sheetName val="CMA_Calculations"/>
      <sheetName val="os gl ac"/>
      <sheetName val="Ratio"/>
      <sheetName val="P&amp;L"/>
      <sheetName val="Master Sheet"/>
      <sheetName val="Approved MTD Proj #'s"/>
      <sheetName val="Links"/>
      <sheetName val="Basement Budget"/>
      <sheetName val="WORKRES"/>
      <sheetName val="Invoice"/>
      <sheetName val="Position Class"/>
      <sheetName val="party name"/>
      <sheetName val="Details BS"/>
      <sheetName val="CRUDE"/>
      <sheetName val="Cash and Bank - Schedule 7"/>
      <sheetName val="VIKAR"/>
      <sheetName val="P&amp;L, BS, CF, DCF"/>
      <sheetName val="new_main_20K"/>
      <sheetName val="Title"/>
      <sheetName val="Group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pretation"/>
      <sheetName val="Sheet1"/>
      <sheetName val="variance"/>
      <sheetName val="PAP VALUE"/>
      <sheetName val="Summary P&amp;L"/>
      <sheetName val="Variance Analysis"/>
      <sheetName val="BOM"/>
      <sheetName val="SCH1"/>
      <sheetName val="sch2"/>
      <sheetName val="sch3"/>
      <sheetName val="Stock Mov"/>
      <sheetName val="Monthwise"/>
      <sheetName val="RECO"/>
      <sheetName val="TB WORK-PAP"/>
      <sheetName val="FINALBS"/>
      <sheetName val="TRIALBALANCE"/>
      <sheetName val="CIF ROCK"/>
      <sheetName val="ABSTRACT"/>
      <sheetName val="Production basis"/>
      <sheetName val="fi"/>
      <sheetName val="MASTER"/>
      <sheetName val="PHPL valuation "/>
      <sheetName val="FORWARD PREMIUM"/>
      <sheetName val="Forex fluctuation"/>
      <sheetName val="LC Interest provision"/>
      <sheetName val="Interest"/>
      <sheetName val="Debt"/>
      <sheetName val="Quantity"/>
      <sheetName val="ManPower"/>
      <sheetName val="Expenses"/>
      <sheetName val="PL"/>
      <sheetName val="BS"/>
      <sheetName val="WC"/>
      <sheetName val="Capex "/>
      <sheetName val="OUTSIDE ENTRY"/>
      <sheetName val="Reconci"/>
      <sheetName val="Ref"/>
      <sheetName val="Lead"/>
      <sheetName val="Cons"/>
      <sheetName val="SCH"/>
      <sheetName val="Input"/>
      <sheetName val="Investment"/>
      <sheetName val="a-4"/>
      <sheetName val="Masters"/>
      <sheetName val="deb"/>
      <sheetName val="Data"/>
      <sheetName val="wwww"/>
      <sheetName val="contentious issues"/>
      <sheetName val="Stores"/>
      <sheetName val="Inter unit set off"/>
      <sheetName val="p &amp;l stpwise"/>
      <sheetName val="Notes to BS (Assets)"/>
      <sheetName val="XREF"/>
      <sheetName val="Breakup Value Working"/>
      <sheetName val="Cash Flow Statement"/>
      <sheetName val="Financial Information"/>
      <sheetName val="Back_Cal_for OMC"/>
      <sheetName val="NOC"/>
      <sheetName val="tdint"/>
      <sheetName val="Cash flow details"/>
      <sheetName val="TOTAL OFERTAS AGUAS euros"/>
      <sheetName val="syndicate codes"/>
      <sheetName val="User Input Sheet"/>
      <sheetName val="Taxes"/>
      <sheetName val="ANNEXURE -15."/>
      <sheetName val="Controls"/>
      <sheetName val="EBITDA"/>
      <sheetName val="Interface"/>
      <sheetName val="WACC_VD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V010923"/>
      <sheetName val="classic010923"/>
      <sheetName val="Vlookup"/>
      <sheetName val="Input Sheet"/>
      <sheetName val="balance sheet P&amp;L"/>
      <sheetName val="Balance sheet groupings"/>
      <sheetName val="Profit &amp; Loss Grouping"/>
      <sheetName val="Consolidated Balancesheet &amp; P&amp;L"/>
      <sheetName val="Statement of changes in equity"/>
      <sheetName val="Conso Stat. changes in equity"/>
      <sheetName val="CFS "/>
      <sheetName val="Consolidated CFS"/>
      <sheetName val="FA Final"/>
      <sheetName val="Consolidated FA"/>
      <sheetName val="Note 1A"/>
      <sheetName val="cwip (2)"/>
      <sheetName val="Consolidated CWIP"/>
      <sheetName val="Note 2A, 6A &amp; 18A"/>
      <sheetName val="Conso Note 2A, 6A &amp; 18A"/>
      <sheetName val="Share Capital"/>
      <sheetName val="Computation (2)"/>
      <sheetName val="Revise def tax"/>
      <sheetName val="Tax Reco Note 15"/>
      <sheetName val="Consolidated Share Capital"/>
      <sheetName val="Consolid Share Capital"/>
      <sheetName val="Consolid. Tax Reco"/>
      <sheetName val="Government grant note 30 &amp; 31"/>
      <sheetName val="Conso note 30 &amp;  31"/>
      <sheetName val="Related Party Discl Nt 32,33"/>
      <sheetName val="Consolidated Related Party"/>
      <sheetName val="New Dislosures"/>
      <sheetName val="Financial Instruments Nt 44"/>
      <sheetName val="Consol Financial Instruments 44"/>
      <sheetName val="Leases &amp; EPS Nt 45 to 49"/>
      <sheetName val="Consolidated Leases &amp; EPS"/>
      <sheetName val="Rep terms LT"/>
      <sheetName val="Rep Terms ST"/>
      <sheetName val="LT Final"/>
      <sheetName val="FA working"/>
      <sheetName val="Asset history"/>
      <sheetName val="Cfd Book Loss 115JB"/>
      <sheetName val="Cfd Loss Corporate tax"/>
      <sheetName val="Ratios"/>
      <sheetName val="Lease MAHAGENCO AS WHOLE"/>
    </sheetNames>
    <sheetDataSet>
      <sheetData sheetId="0"/>
      <sheetData sheetId="1"/>
      <sheetData sheetId="2">
        <row r="1033">
          <cell r="C1033">
            <v>-8108205267.3699999</v>
          </cell>
        </row>
      </sheetData>
      <sheetData sheetId="3">
        <row r="6">
          <cell r="R6">
            <v>1678.7517123700002</v>
          </cell>
        </row>
        <row r="7">
          <cell r="R7">
            <v>131.01774349999999</v>
          </cell>
        </row>
        <row r="8">
          <cell r="R8">
            <v>2035.3038791610002</v>
          </cell>
        </row>
        <row r="9">
          <cell r="R9">
            <v>1558.193879272</v>
          </cell>
        </row>
        <row r="10">
          <cell r="R10">
            <v>3767.0572018599996</v>
          </cell>
        </row>
        <row r="11">
          <cell r="R11">
            <v>1735.5792325299999</v>
          </cell>
        </row>
        <row r="12">
          <cell r="R12">
            <v>1348.328281655</v>
          </cell>
        </row>
        <row r="13">
          <cell r="R13">
            <v>54035.748937204</v>
          </cell>
        </row>
        <row r="14">
          <cell r="R14">
            <v>0</v>
          </cell>
        </row>
        <row r="15">
          <cell r="R15">
            <v>6.9999999999999997E-7</v>
          </cell>
        </row>
        <row r="16">
          <cell r="R16">
            <v>841.91768669399994</v>
          </cell>
        </row>
        <row r="17">
          <cell r="R17">
            <v>74.723972019000001</v>
          </cell>
        </row>
        <row r="18">
          <cell r="R18">
            <v>55.107586427999998</v>
          </cell>
        </row>
        <row r="19">
          <cell r="R19">
            <v>92.882042196</v>
          </cell>
        </row>
        <row r="20">
          <cell r="R20">
            <v>86.980283909999997</v>
          </cell>
        </row>
        <row r="21">
          <cell r="R21">
            <v>0</v>
          </cell>
        </row>
        <row r="22">
          <cell r="R22">
            <v>0</v>
          </cell>
        </row>
        <row r="23">
          <cell r="R23">
            <v>56.245604590999996</v>
          </cell>
        </row>
        <row r="24">
          <cell r="R24">
            <v>4439.6468180000002</v>
          </cell>
        </row>
        <row r="25">
          <cell r="R25">
            <v>0</v>
          </cell>
        </row>
        <row r="26">
          <cell r="R26">
            <v>0</v>
          </cell>
        </row>
        <row r="27">
          <cell r="R27">
            <v>12.603990329</v>
          </cell>
        </row>
        <row r="28">
          <cell r="R28">
            <v>7.4501800889999998</v>
          </cell>
        </row>
        <row r="29">
          <cell r="R29">
            <v>86.898214598999999</v>
          </cell>
        </row>
        <row r="30">
          <cell r="R30">
            <v>12.813927629</v>
          </cell>
        </row>
        <row r="31">
          <cell r="R31">
            <v>4.8626668479999999</v>
          </cell>
        </row>
        <row r="32">
          <cell r="R32">
            <v>1085.0955059830001</v>
          </cell>
        </row>
        <row r="33">
          <cell r="R33">
            <v>4.4639498639999999</v>
          </cell>
        </row>
        <row r="34">
          <cell r="R34">
            <v>3.1365620230000002</v>
          </cell>
        </row>
        <row r="35">
          <cell r="R35">
            <v>1.403081271</v>
          </cell>
        </row>
        <row r="36">
          <cell r="R36">
            <v>4.4971767690000002</v>
          </cell>
        </row>
        <row r="37">
          <cell r="R37">
            <v>0.44461519999999999</v>
          </cell>
        </row>
        <row r="38">
          <cell r="R38">
            <v>0</v>
          </cell>
        </row>
        <row r="39">
          <cell r="R39">
            <v>60.337797950000002</v>
          </cell>
        </row>
        <row r="40">
          <cell r="R40">
            <v>1350.951315716</v>
          </cell>
        </row>
        <row r="41">
          <cell r="R41">
            <v>831.24458695600003</v>
          </cell>
        </row>
        <row r="42">
          <cell r="R42">
            <v>2171.4833218869999</v>
          </cell>
        </row>
        <row r="43">
          <cell r="R43">
            <v>874.45816697900011</v>
          </cell>
        </row>
        <row r="44">
          <cell r="R44">
            <v>422.42637009499998</v>
          </cell>
        </row>
        <row r="45">
          <cell r="R45">
            <v>29990.825415802003</v>
          </cell>
        </row>
        <row r="46">
          <cell r="R46">
            <v>0</v>
          </cell>
        </row>
        <row r="47">
          <cell r="R47">
            <v>518.73213405199999</v>
          </cell>
        </row>
        <row r="48">
          <cell r="R48">
            <v>28.613181192000003</v>
          </cell>
        </row>
        <row r="49">
          <cell r="R49">
            <v>35.527038404999999</v>
          </cell>
        </row>
        <row r="50">
          <cell r="R50">
            <v>51.966004622</v>
          </cell>
        </row>
        <row r="51">
          <cell r="R51">
            <v>64.514075070000004</v>
          </cell>
        </row>
        <row r="52">
          <cell r="R52">
            <v>0</v>
          </cell>
        </row>
        <row r="54">
          <cell r="R54">
            <v>51.951534522999999</v>
          </cell>
        </row>
        <row r="55">
          <cell r="D55">
            <v>12962</v>
          </cell>
          <cell r="R55">
            <v>1020.4094346000001</v>
          </cell>
        </row>
        <row r="56">
          <cell r="R56">
            <v>0</v>
          </cell>
        </row>
        <row r="57">
          <cell r="R57">
            <v>10.943974465</v>
          </cell>
        </row>
        <row r="58">
          <cell r="R58">
            <v>6.5721391650000003</v>
          </cell>
        </row>
        <row r="59">
          <cell r="R59">
            <v>77.865547253999992</v>
          </cell>
        </row>
        <row r="60">
          <cell r="R60">
            <v>9.0118232850000002</v>
          </cell>
        </row>
        <row r="61">
          <cell r="R61">
            <v>4.2900636969999999</v>
          </cell>
        </row>
        <row r="62">
          <cell r="R62">
            <v>961.17367607900007</v>
          </cell>
        </row>
        <row r="63">
          <cell r="R63">
            <v>3.6525181719999997</v>
          </cell>
        </row>
        <row r="64">
          <cell r="R64">
            <v>2.8229065090000001</v>
          </cell>
        </row>
        <row r="65">
          <cell r="R65">
            <v>1.262557876</v>
          </cell>
        </row>
        <row r="66">
          <cell r="R66">
            <v>4.0401801930000003</v>
          </cell>
        </row>
        <row r="67">
          <cell r="R67">
            <v>0.40015367999999996</v>
          </cell>
        </row>
        <row r="68">
          <cell r="M68">
            <v>0</v>
          </cell>
        </row>
        <row r="69">
          <cell r="R69">
            <v>53.848957425999998</v>
          </cell>
        </row>
        <row r="70">
          <cell r="R70">
            <v>0</v>
          </cell>
        </row>
        <row r="71">
          <cell r="R71">
            <v>0</v>
          </cell>
        </row>
        <row r="72">
          <cell r="R72">
            <v>1570.1811338749999</v>
          </cell>
        </row>
        <row r="73">
          <cell r="R73">
            <v>32.422510976999995</v>
          </cell>
        </row>
        <row r="74">
          <cell r="R74">
            <v>0</v>
          </cell>
        </row>
        <row r="75">
          <cell r="R75">
            <v>5.5679882899999997</v>
          </cell>
        </row>
        <row r="76">
          <cell r="R76">
            <v>18.465584227000001</v>
          </cell>
        </row>
        <row r="77">
          <cell r="R77">
            <v>4178.4478459250004</v>
          </cell>
        </row>
        <row r="78">
          <cell r="R78">
            <v>0</v>
          </cell>
        </row>
        <row r="79">
          <cell r="R79">
            <v>0</v>
          </cell>
        </row>
        <row r="80">
          <cell r="R80">
            <v>5.2600000000000002E-7</v>
          </cell>
        </row>
        <row r="81">
          <cell r="R81">
            <v>8.9999999999999999E-8</v>
          </cell>
        </row>
        <row r="82">
          <cell r="R82">
            <v>0.83898524800000007</v>
          </cell>
        </row>
        <row r="84">
          <cell r="R84">
            <v>574.16186102100005</v>
          </cell>
        </row>
        <row r="86">
          <cell r="G86">
            <v>0.05</v>
          </cell>
          <cell r="R86">
            <v>0.05</v>
          </cell>
        </row>
        <row r="87">
          <cell r="G87">
            <v>0.05</v>
          </cell>
          <cell r="R87">
            <v>0.05</v>
          </cell>
        </row>
        <row r="88">
          <cell r="G88">
            <v>0.03</v>
          </cell>
          <cell r="R88">
            <v>0.03</v>
          </cell>
        </row>
        <row r="89">
          <cell r="G89">
            <v>0.03</v>
          </cell>
          <cell r="R89">
            <v>0.03</v>
          </cell>
        </row>
        <row r="90">
          <cell r="G90">
            <v>0</v>
          </cell>
          <cell r="R90">
            <v>0</v>
          </cell>
        </row>
        <row r="91">
          <cell r="R91">
            <v>0.52</v>
          </cell>
        </row>
        <row r="92">
          <cell r="G92">
            <v>0</v>
          </cell>
          <cell r="R92">
            <v>0</v>
          </cell>
        </row>
        <row r="93">
          <cell r="Q93">
            <v>825.97046793900006</v>
          </cell>
        </row>
        <row r="94">
          <cell r="Q94">
            <v>133.783303477</v>
          </cell>
        </row>
        <row r="95">
          <cell r="Q95">
            <v>1.507216828</v>
          </cell>
        </row>
        <row r="96">
          <cell r="Q96">
            <v>182.00282437199999</v>
          </cell>
        </row>
        <row r="97">
          <cell r="Q97">
            <v>0.70923444299999994</v>
          </cell>
        </row>
        <row r="98">
          <cell r="Q98">
            <v>0</v>
          </cell>
        </row>
        <row r="99">
          <cell r="Q99">
            <v>0</v>
          </cell>
        </row>
        <row r="100">
          <cell r="Q100">
            <v>64.100697285999999</v>
          </cell>
        </row>
        <row r="101">
          <cell r="Q101">
            <v>123.15643997799999</v>
          </cell>
        </row>
        <row r="102">
          <cell r="Q102">
            <v>198.14129924000002</v>
          </cell>
        </row>
        <row r="103">
          <cell r="Q103">
            <v>7.1588064519999994</v>
          </cell>
        </row>
        <row r="104">
          <cell r="Q104">
            <v>0.459820913</v>
          </cell>
        </row>
        <row r="105">
          <cell r="Q105">
            <v>0</v>
          </cell>
        </row>
        <row r="106">
          <cell r="Q106">
            <v>0</v>
          </cell>
        </row>
        <row r="107">
          <cell r="Q107">
            <v>0</v>
          </cell>
        </row>
        <row r="108">
          <cell r="Q108">
            <v>0</v>
          </cell>
        </row>
        <row r="109">
          <cell r="Q109">
            <v>57.851964202999994</v>
          </cell>
        </row>
        <row r="110">
          <cell r="Q110">
            <v>0</v>
          </cell>
        </row>
        <row r="111">
          <cell r="Q111">
            <v>0</v>
          </cell>
        </row>
        <row r="112">
          <cell r="Q112">
            <v>0</v>
          </cell>
        </row>
        <row r="113">
          <cell r="Q113">
            <v>0</v>
          </cell>
        </row>
        <row r="114">
          <cell r="Q114">
            <v>0</v>
          </cell>
        </row>
        <row r="115">
          <cell r="Q115">
            <v>0</v>
          </cell>
        </row>
        <row r="116">
          <cell r="Q116">
            <v>39.259050551000001</v>
          </cell>
        </row>
        <row r="117">
          <cell r="Q117">
            <v>0</v>
          </cell>
        </row>
        <row r="118">
          <cell r="Q118">
            <v>4.880875724</v>
          </cell>
        </row>
        <row r="119">
          <cell r="Q119">
            <v>2.6551669999999999E-3</v>
          </cell>
        </row>
        <row r="120">
          <cell r="Q120">
            <v>4.5246657479999994</v>
          </cell>
        </row>
        <row r="121">
          <cell r="Q121">
            <v>859.48286522199999</v>
          </cell>
        </row>
        <row r="122">
          <cell r="Q122">
            <v>-3.0975000000000002E-4</v>
          </cell>
        </row>
        <row r="123">
          <cell r="Q123">
            <v>5.6585000000000003E-3</v>
          </cell>
        </row>
        <row r="124">
          <cell r="Q124">
            <v>34.261869238999999</v>
          </cell>
        </row>
        <row r="125">
          <cell r="Q125">
            <v>1.407910317</v>
          </cell>
        </row>
        <row r="126">
          <cell r="Q126">
            <v>2.0000000000000001E-9</v>
          </cell>
        </row>
        <row r="127">
          <cell r="Q127">
            <v>0</v>
          </cell>
        </row>
        <row r="128">
          <cell r="Q128">
            <v>0</v>
          </cell>
        </row>
        <row r="129">
          <cell r="Q129">
            <v>0</v>
          </cell>
        </row>
        <row r="130">
          <cell r="Q130">
            <v>0</v>
          </cell>
        </row>
        <row r="131">
          <cell r="Q131">
            <v>0</v>
          </cell>
        </row>
        <row r="132">
          <cell r="Q132">
            <v>1.7416499999999999</v>
          </cell>
        </row>
        <row r="133">
          <cell r="Q133">
            <v>1.460201758</v>
          </cell>
        </row>
        <row r="134">
          <cell r="Q134">
            <v>0</v>
          </cell>
        </row>
        <row r="135">
          <cell r="Q135">
            <v>0</v>
          </cell>
        </row>
        <row r="136">
          <cell r="Q136">
            <v>0</v>
          </cell>
        </row>
        <row r="137">
          <cell r="Q137">
            <v>0</v>
          </cell>
        </row>
        <row r="138">
          <cell r="Q138">
            <v>0</v>
          </cell>
        </row>
        <row r="139">
          <cell r="Q139">
            <v>0</v>
          </cell>
        </row>
        <row r="140">
          <cell r="Q140">
            <v>0</v>
          </cell>
        </row>
        <row r="141">
          <cell r="Q141">
            <v>-3.8269318969999997</v>
          </cell>
        </row>
        <row r="142">
          <cell r="Q142">
            <v>3.8184885950000003</v>
          </cell>
        </row>
        <row r="143">
          <cell r="Q143">
            <v>4.3000000000000001E-8</v>
          </cell>
        </row>
        <row r="144">
          <cell r="Q144">
            <v>-4.3000000000000001E-8</v>
          </cell>
        </row>
        <row r="145">
          <cell r="Q145">
            <v>-1.0891277500000001</v>
          </cell>
        </row>
        <row r="146">
          <cell r="Q146">
            <v>-4.9515432060000002</v>
          </cell>
        </row>
        <row r="147">
          <cell r="Q147">
            <v>0</v>
          </cell>
        </row>
        <row r="148">
          <cell r="Q148">
            <v>0</v>
          </cell>
        </row>
        <row r="149">
          <cell r="Q149">
            <v>0</v>
          </cell>
        </row>
        <row r="150">
          <cell r="Q150">
            <v>0</v>
          </cell>
        </row>
        <row r="151">
          <cell r="Q151">
            <v>0</v>
          </cell>
        </row>
        <row r="152">
          <cell r="Q152">
            <v>0.24888187000000001</v>
          </cell>
        </row>
        <row r="153">
          <cell r="Q153">
            <v>-5.9287999999999999E-5</v>
          </cell>
        </row>
        <row r="154">
          <cell r="Q154">
            <v>583.95762063900008</v>
          </cell>
        </row>
        <row r="155">
          <cell r="Q155">
            <v>0</v>
          </cell>
        </row>
        <row r="156">
          <cell r="Q156">
            <v>0</v>
          </cell>
        </row>
        <row r="157">
          <cell r="Q157">
            <v>29.491588554000003</v>
          </cell>
        </row>
        <row r="158">
          <cell r="Q158">
            <v>-14.548362383000001</v>
          </cell>
        </row>
        <row r="159">
          <cell r="Q159">
            <v>0</v>
          </cell>
        </row>
        <row r="160">
          <cell r="Q160">
            <v>0</v>
          </cell>
        </row>
        <row r="161">
          <cell r="Q161">
            <v>0</v>
          </cell>
        </row>
        <row r="162">
          <cell r="Q162">
            <v>0</v>
          </cell>
        </row>
        <row r="163">
          <cell r="Q163">
            <v>0</v>
          </cell>
        </row>
        <row r="164">
          <cell r="Q164">
            <v>0</v>
          </cell>
        </row>
        <row r="165">
          <cell r="Q165">
            <v>0</v>
          </cell>
        </row>
        <row r="166">
          <cell r="Q166">
            <v>0</v>
          </cell>
        </row>
        <row r="167">
          <cell r="Q167">
            <v>0</v>
          </cell>
        </row>
        <row r="168">
          <cell r="Q168">
            <v>0</v>
          </cell>
        </row>
        <row r="169">
          <cell r="Q169">
            <v>0</v>
          </cell>
        </row>
        <row r="170">
          <cell r="Q170">
            <v>0</v>
          </cell>
        </row>
        <row r="171">
          <cell r="Q171">
            <v>0</v>
          </cell>
        </row>
        <row r="172">
          <cell r="Q172">
            <v>0</v>
          </cell>
        </row>
        <row r="173">
          <cell r="Q173">
            <v>0</v>
          </cell>
        </row>
        <row r="174">
          <cell r="Q174">
            <v>0</v>
          </cell>
        </row>
        <row r="175">
          <cell r="Q175">
            <v>0</v>
          </cell>
        </row>
        <row r="176">
          <cell r="Q176">
            <v>0</v>
          </cell>
        </row>
        <row r="177">
          <cell r="Q177">
            <v>0</v>
          </cell>
        </row>
        <row r="178">
          <cell r="Q178">
            <v>8.0316000000000003E-4</v>
          </cell>
        </row>
        <row r="179">
          <cell r="E179" t="str">
            <v>Main-SBI9E-8427-WM</v>
          </cell>
          <cell r="Q179">
            <v>0</v>
          </cell>
        </row>
        <row r="180">
          <cell r="E180" t="str">
            <v>Op-SBI9E-8427-WM</v>
          </cell>
          <cell r="Q180">
            <v>0.264445608</v>
          </cell>
        </row>
        <row r="181">
          <cell r="E181" t="str">
            <v>Main-SBI9F-2465-WM</v>
          </cell>
          <cell r="Q181">
            <v>0</v>
          </cell>
        </row>
        <row r="182">
          <cell r="E182" t="str">
            <v>Op-SBI9F-2465-WM</v>
          </cell>
          <cell r="Q182">
            <v>9.6951829510000014</v>
          </cell>
        </row>
        <row r="183">
          <cell r="Q183">
            <v>0</v>
          </cell>
        </row>
        <row r="184">
          <cell r="Q184">
            <v>0</v>
          </cell>
        </row>
        <row r="185">
          <cell r="Q185">
            <v>-0.92</v>
          </cell>
        </row>
        <row r="186">
          <cell r="Q186">
            <v>0.92226775900000002</v>
          </cell>
        </row>
        <row r="187">
          <cell r="E187" t="str">
            <v>Main-SBI9H-1663-WM_freight pyt to East Coast Rly</v>
          </cell>
          <cell r="Q187">
            <v>0</v>
          </cell>
        </row>
        <row r="188">
          <cell r="E188" t="str">
            <v>Op-SBI9H-1663-WM_freight pyt to East Co</v>
          </cell>
          <cell r="Q188">
            <v>-3.1658709999999998E-3</v>
          </cell>
        </row>
        <row r="189">
          <cell r="E189" t="str">
            <v>Op-SBI9I-1081-WM- e-freight payment to</v>
          </cell>
          <cell r="Q189">
            <v>-3.6665582000000002E-2</v>
          </cell>
        </row>
        <row r="190">
          <cell r="Q190">
            <v>-3.1310970000000002E-3</v>
          </cell>
        </row>
        <row r="191">
          <cell r="Q191">
            <v>2.1045789000000002E-2</v>
          </cell>
        </row>
        <row r="192">
          <cell r="Q192">
            <v>0</v>
          </cell>
        </row>
        <row r="193">
          <cell r="Q193">
            <v>0</v>
          </cell>
        </row>
        <row r="194">
          <cell r="Q194">
            <v>0</v>
          </cell>
        </row>
        <row r="195">
          <cell r="Q195">
            <v>0</v>
          </cell>
        </row>
        <row r="196">
          <cell r="Q196">
            <v>6.3761999999999998E-4</v>
          </cell>
        </row>
        <row r="197">
          <cell r="Q197">
            <v>1.0788252E-2</v>
          </cell>
        </row>
        <row r="198">
          <cell r="Q198">
            <v>259.33296949999999</v>
          </cell>
        </row>
        <row r="199">
          <cell r="Q199">
            <v>0</v>
          </cell>
        </row>
        <row r="200">
          <cell r="Q200">
            <v>0</v>
          </cell>
        </row>
        <row r="201">
          <cell r="Q201">
            <v>9.8377399999999998E-4</v>
          </cell>
        </row>
        <row r="202">
          <cell r="Q202">
            <v>0</v>
          </cell>
        </row>
        <row r="203">
          <cell r="Q203">
            <v>0</v>
          </cell>
        </row>
        <row r="204">
          <cell r="Q204">
            <v>1.0347500000000001E-3</v>
          </cell>
        </row>
        <row r="205">
          <cell r="Q205">
            <v>4.226067E-3</v>
          </cell>
        </row>
        <row r="206">
          <cell r="Q206">
            <v>7.55088E-4</v>
          </cell>
        </row>
        <row r="207">
          <cell r="Q207">
            <v>1.5947979999999999E-3</v>
          </cell>
        </row>
        <row r="208">
          <cell r="Q208">
            <v>2.5719880000000003E-3</v>
          </cell>
        </row>
        <row r="209">
          <cell r="Q209">
            <v>0</v>
          </cell>
        </row>
        <row r="210">
          <cell r="Q210">
            <v>0</v>
          </cell>
        </row>
        <row r="211">
          <cell r="Q211">
            <v>0</v>
          </cell>
        </row>
        <row r="212">
          <cell r="Q212">
            <v>0</v>
          </cell>
        </row>
        <row r="213">
          <cell r="Q213">
            <v>0</v>
          </cell>
        </row>
        <row r="214">
          <cell r="Q214">
            <v>0</v>
          </cell>
        </row>
        <row r="215">
          <cell r="Q215">
            <v>0.27321061699999999</v>
          </cell>
        </row>
        <row r="216">
          <cell r="Q216">
            <v>-0.193485987</v>
          </cell>
        </row>
        <row r="217">
          <cell r="Q217">
            <v>5.0000000000000001E-4</v>
          </cell>
        </row>
        <row r="218">
          <cell r="Q218">
            <v>-4.9991E-4</v>
          </cell>
        </row>
        <row r="219">
          <cell r="Q219">
            <v>5.0005799999999995E-4</v>
          </cell>
        </row>
        <row r="220">
          <cell r="Q220">
            <v>-4.7205799999999997E-4</v>
          </cell>
        </row>
        <row r="221">
          <cell r="Q221">
            <v>9.5619376000000006E-2</v>
          </cell>
        </row>
        <row r="222">
          <cell r="Q222">
            <v>-2.9742330000000002E-3</v>
          </cell>
        </row>
        <row r="223">
          <cell r="Q223">
            <v>0</v>
          </cell>
        </row>
        <row r="224">
          <cell r="Q224">
            <v>0</v>
          </cell>
        </row>
        <row r="225">
          <cell r="Q225">
            <v>1.5594479999999999E-2</v>
          </cell>
        </row>
        <row r="226">
          <cell r="Q226">
            <v>0.16340547999999999</v>
          </cell>
        </row>
        <row r="227">
          <cell r="Q227">
            <v>1.83873E-3</v>
          </cell>
        </row>
        <row r="228">
          <cell r="Q228">
            <v>0</v>
          </cell>
        </row>
        <row r="229">
          <cell r="Q229">
            <v>0</v>
          </cell>
        </row>
        <row r="230">
          <cell r="Q230">
            <v>0</v>
          </cell>
        </row>
        <row r="231">
          <cell r="Q231">
            <v>0</v>
          </cell>
        </row>
        <row r="232">
          <cell r="Q232">
            <v>2.9388000000000001E-3</v>
          </cell>
        </row>
        <row r="233">
          <cell r="Q233">
            <v>2.1000000000000001E-4</v>
          </cell>
        </row>
        <row r="234">
          <cell r="Q234">
            <v>0.59440078899999993</v>
          </cell>
        </row>
        <row r="235">
          <cell r="Q235">
            <v>-6.1269499999999998E-2</v>
          </cell>
        </row>
        <row r="236">
          <cell r="Q236">
            <v>0</v>
          </cell>
        </row>
        <row r="237">
          <cell r="Q237">
            <v>0</v>
          </cell>
        </row>
        <row r="238">
          <cell r="Q238">
            <v>0</v>
          </cell>
        </row>
        <row r="239">
          <cell r="Q239">
            <v>0</v>
          </cell>
        </row>
        <row r="240">
          <cell r="Q240">
            <v>0</v>
          </cell>
        </row>
        <row r="241">
          <cell r="Q241">
            <v>9.0243488529999993</v>
          </cell>
        </row>
        <row r="242">
          <cell r="Q242">
            <v>-8.9776749999999996</v>
          </cell>
        </row>
        <row r="243">
          <cell r="Q243">
            <v>0</v>
          </cell>
        </row>
        <row r="244">
          <cell r="Q244">
            <v>0</v>
          </cell>
        </row>
        <row r="245">
          <cell r="Q245">
            <v>0</v>
          </cell>
        </row>
        <row r="246">
          <cell r="Q246">
            <v>2.9751112530000001</v>
          </cell>
        </row>
        <row r="247">
          <cell r="Q247">
            <v>1.0538362400000001</v>
          </cell>
        </row>
        <row r="248">
          <cell r="Q248">
            <v>0</v>
          </cell>
        </row>
        <row r="249">
          <cell r="Q249">
            <v>0</v>
          </cell>
        </row>
        <row r="250">
          <cell r="Q250">
            <v>9.1116050000000004E-2</v>
          </cell>
        </row>
        <row r="251">
          <cell r="Q251">
            <v>-1.024E-4</v>
          </cell>
        </row>
        <row r="252">
          <cell r="Q252">
            <v>9.4899999999999997E-4</v>
          </cell>
        </row>
        <row r="253">
          <cell r="Q253">
            <v>2.2371499999999998E-3</v>
          </cell>
        </row>
        <row r="254">
          <cell r="Q254">
            <v>0</v>
          </cell>
        </row>
        <row r="255">
          <cell r="Q255">
            <v>0</v>
          </cell>
        </row>
        <row r="256">
          <cell r="Q256">
            <v>0</v>
          </cell>
        </row>
        <row r="257">
          <cell r="Q257">
            <v>0</v>
          </cell>
        </row>
        <row r="258">
          <cell r="Q258">
            <v>0</v>
          </cell>
        </row>
        <row r="259">
          <cell r="Q259">
            <v>5.8469999999999996E-4</v>
          </cell>
        </row>
        <row r="260">
          <cell r="Q260">
            <v>0.270957903</v>
          </cell>
        </row>
        <row r="261">
          <cell r="Q261">
            <v>-0.207261428</v>
          </cell>
        </row>
        <row r="262">
          <cell r="Q262">
            <v>0</v>
          </cell>
        </row>
        <row r="263">
          <cell r="Q263">
            <v>0</v>
          </cell>
        </row>
        <row r="264">
          <cell r="Q264">
            <v>0</v>
          </cell>
        </row>
        <row r="265">
          <cell r="Q265">
            <v>2.6327999999999998E-3</v>
          </cell>
        </row>
        <row r="266">
          <cell r="Q266">
            <v>1.8039999999999999E-4</v>
          </cell>
        </row>
        <row r="267">
          <cell r="Q267">
            <v>2.7529640959999999</v>
          </cell>
        </row>
        <row r="268">
          <cell r="Q268">
            <v>-1.7516525000000001</v>
          </cell>
        </row>
        <row r="269">
          <cell r="Q269">
            <v>0</v>
          </cell>
        </row>
        <row r="270">
          <cell r="Q270">
            <v>0</v>
          </cell>
        </row>
        <row r="271">
          <cell r="Q271">
            <v>1.0422452E-2</v>
          </cell>
        </row>
        <row r="272">
          <cell r="Q272">
            <v>0.2322748</v>
          </cell>
        </row>
        <row r="273">
          <cell r="Q273">
            <v>1.1362100000000001E-3</v>
          </cell>
        </row>
        <row r="274">
          <cell r="Q274">
            <v>0</v>
          </cell>
        </row>
        <row r="275">
          <cell r="Q275">
            <v>9.7899999999999994E-5</v>
          </cell>
        </row>
        <row r="276">
          <cell r="Q276">
            <v>0</v>
          </cell>
        </row>
        <row r="277">
          <cell r="Q277">
            <v>0</v>
          </cell>
        </row>
        <row r="278">
          <cell r="E278" t="str">
            <v>Main-BOI2C-0573-KDTPS</v>
          </cell>
          <cell r="Q278">
            <v>1.0452893109999999</v>
          </cell>
        </row>
        <row r="279">
          <cell r="Q279">
            <v>-3.2212699999999997E-2</v>
          </cell>
        </row>
        <row r="280">
          <cell r="Q280">
            <v>0</v>
          </cell>
        </row>
        <row r="281">
          <cell r="Q281">
            <v>0</v>
          </cell>
        </row>
        <row r="282">
          <cell r="Q282">
            <v>0</v>
          </cell>
        </row>
        <row r="283">
          <cell r="Q283">
            <v>0</v>
          </cell>
        </row>
        <row r="284">
          <cell r="Q284">
            <v>8.8159999999999996E-4</v>
          </cell>
        </row>
        <row r="285">
          <cell r="Q285">
            <v>0</v>
          </cell>
        </row>
        <row r="286">
          <cell r="Q286">
            <v>0</v>
          </cell>
        </row>
        <row r="287">
          <cell r="Q287">
            <v>0</v>
          </cell>
        </row>
        <row r="288">
          <cell r="Q288">
            <v>0</v>
          </cell>
        </row>
        <row r="289">
          <cell r="Q289">
            <v>0.31083291000000002</v>
          </cell>
        </row>
        <row r="290">
          <cell r="Q290">
            <v>-7.5143399999999999E-2</v>
          </cell>
        </row>
        <row r="291">
          <cell r="Q291">
            <v>0</v>
          </cell>
        </row>
        <row r="292">
          <cell r="Q292">
            <v>0</v>
          </cell>
        </row>
        <row r="293">
          <cell r="Q293">
            <v>0</v>
          </cell>
        </row>
        <row r="294">
          <cell r="Q294">
            <v>0</v>
          </cell>
        </row>
        <row r="295">
          <cell r="Q295">
            <v>6.1799999999999998E-5</v>
          </cell>
        </row>
        <row r="296">
          <cell r="Q296">
            <v>0</v>
          </cell>
        </row>
        <row r="297">
          <cell r="Q297">
            <v>0</v>
          </cell>
        </row>
        <row r="298">
          <cell r="Q298">
            <v>0.23303772000000003</v>
          </cell>
        </row>
        <row r="299">
          <cell r="Q299">
            <v>-0.14781820000000001</v>
          </cell>
        </row>
        <row r="300">
          <cell r="Q300">
            <v>1.7892014000000001E-2</v>
          </cell>
        </row>
        <row r="301">
          <cell r="Q301">
            <v>-1.7892114000000001E-2</v>
          </cell>
        </row>
        <row r="302">
          <cell r="Q302">
            <v>0</v>
          </cell>
        </row>
        <row r="303">
          <cell r="Q303">
            <v>0</v>
          </cell>
        </row>
        <row r="304">
          <cell r="Q304">
            <v>0</v>
          </cell>
        </row>
        <row r="305">
          <cell r="Q305">
            <v>0</v>
          </cell>
        </row>
        <row r="306">
          <cell r="Q306">
            <v>0</v>
          </cell>
        </row>
        <row r="307">
          <cell r="Q307">
            <v>0</v>
          </cell>
        </row>
        <row r="308">
          <cell r="Q308">
            <v>0</v>
          </cell>
        </row>
        <row r="309">
          <cell r="Q309">
            <v>0</v>
          </cell>
        </row>
        <row r="310">
          <cell r="Q310">
            <v>0.66956018699999997</v>
          </cell>
        </row>
        <row r="311">
          <cell r="Q311">
            <v>-7.7999999999999999E-4</v>
          </cell>
        </row>
        <row r="312">
          <cell r="Q312">
            <v>1.0340863060000001</v>
          </cell>
        </row>
        <row r="313">
          <cell r="Q313">
            <v>-0.9788734</v>
          </cell>
        </row>
        <row r="314">
          <cell r="Q314">
            <v>1.6440000000000001E-4</v>
          </cell>
        </row>
        <row r="315">
          <cell r="Q315">
            <v>7.7887700000000004E-2</v>
          </cell>
        </row>
        <row r="316">
          <cell r="Q316">
            <v>-1.9598399999999998E-2</v>
          </cell>
        </row>
        <row r="317">
          <cell r="Q317">
            <v>1.5000770000000001E-3</v>
          </cell>
        </row>
        <row r="318">
          <cell r="Q318">
            <v>0</v>
          </cell>
        </row>
        <row r="319">
          <cell r="Q319">
            <v>0</v>
          </cell>
        </row>
        <row r="320">
          <cell r="Q320">
            <v>0</v>
          </cell>
        </row>
        <row r="321">
          <cell r="Q321">
            <v>0</v>
          </cell>
        </row>
        <row r="322">
          <cell r="Q322">
            <v>3.5299000000000002E-5</v>
          </cell>
        </row>
        <row r="323">
          <cell r="Q323">
            <v>0</v>
          </cell>
        </row>
        <row r="324">
          <cell r="Q324">
            <v>4.6789999999999999E-4</v>
          </cell>
        </row>
        <row r="325">
          <cell r="Q325">
            <v>-4.6789999999999999E-4</v>
          </cell>
        </row>
        <row r="326">
          <cell r="Q326">
            <v>6.8100000000000002E-5</v>
          </cell>
        </row>
        <row r="327">
          <cell r="Q327">
            <v>8.6133199999999993E-2</v>
          </cell>
        </row>
        <row r="328">
          <cell r="Q328">
            <v>-6.10191E-2</v>
          </cell>
        </row>
        <row r="329">
          <cell r="Q329">
            <v>0</v>
          </cell>
        </row>
        <row r="330">
          <cell r="Q330">
            <v>0</v>
          </cell>
        </row>
        <row r="331">
          <cell r="Q331">
            <v>1.5752E-4</v>
          </cell>
        </row>
        <row r="332">
          <cell r="Q332">
            <v>7.1269162999999996E-2</v>
          </cell>
        </row>
        <row r="333">
          <cell r="Q333">
            <v>-4.6411999999999998E-3</v>
          </cell>
        </row>
        <row r="334">
          <cell r="Q334">
            <v>0</v>
          </cell>
        </row>
        <row r="335">
          <cell r="Q335">
            <v>0</v>
          </cell>
        </row>
        <row r="336">
          <cell r="Q336">
            <v>3.1952E-3</v>
          </cell>
        </row>
        <row r="337">
          <cell r="Q337">
            <v>0.44014629500000002</v>
          </cell>
        </row>
        <row r="338">
          <cell r="Q338">
            <v>-0.35859746000000003</v>
          </cell>
        </row>
        <row r="339">
          <cell r="Q339">
            <v>0</v>
          </cell>
        </row>
        <row r="340">
          <cell r="Q340">
            <v>0</v>
          </cell>
        </row>
        <row r="341">
          <cell r="Q341">
            <v>0</v>
          </cell>
        </row>
        <row r="342">
          <cell r="Q342">
            <v>0</v>
          </cell>
        </row>
        <row r="343">
          <cell r="Q343">
            <v>1.2017241999999999E-2</v>
          </cell>
        </row>
        <row r="344">
          <cell r="Q344">
            <v>0</v>
          </cell>
        </row>
        <row r="345">
          <cell r="Q345">
            <v>2.4879999999999998E-4</v>
          </cell>
        </row>
        <row r="346">
          <cell r="Q346">
            <v>0.205465438</v>
          </cell>
        </row>
        <row r="347">
          <cell r="Q347">
            <v>-0.20000332900000001</v>
          </cell>
        </row>
        <row r="348">
          <cell r="Q348">
            <v>0</v>
          </cell>
        </row>
        <row r="349">
          <cell r="Q349">
            <v>0</v>
          </cell>
        </row>
        <row r="350">
          <cell r="Q350">
            <v>0</v>
          </cell>
        </row>
        <row r="351">
          <cell r="Q351">
            <v>0</v>
          </cell>
        </row>
        <row r="352">
          <cell r="Q352">
            <v>5.463E-4</v>
          </cell>
        </row>
        <row r="353">
          <cell r="Q353">
            <v>1.2987988000000001E-2</v>
          </cell>
        </row>
        <row r="354">
          <cell r="Q354">
            <v>-1E-3</v>
          </cell>
        </row>
        <row r="355">
          <cell r="Q355">
            <v>0</v>
          </cell>
        </row>
        <row r="356">
          <cell r="Q356">
            <v>0</v>
          </cell>
        </row>
        <row r="357">
          <cell r="Q357">
            <v>3.0630000000000002E-4</v>
          </cell>
        </row>
        <row r="358">
          <cell r="Q358">
            <v>3.9905068000000002E-2</v>
          </cell>
        </row>
        <row r="359">
          <cell r="Q359">
            <v>-3.9905068000000002E-2</v>
          </cell>
        </row>
        <row r="360">
          <cell r="Q360">
            <v>1.8593865000000001E-2</v>
          </cell>
        </row>
        <row r="361">
          <cell r="Q361">
            <v>0</v>
          </cell>
        </row>
        <row r="362">
          <cell r="Q362">
            <v>0</v>
          </cell>
        </row>
        <row r="363">
          <cell r="Q363">
            <v>4.0749999999999998E-4</v>
          </cell>
        </row>
        <row r="364">
          <cell r="Q364">
            <v>0.26236679099999999</v>
          </cell>
        </row>
        <row r="365">
          <cell r="Q365">
            <v>-0.262366816</v>
          </cell>
        </row>
        <row r="366">
          <cell r="Q366">
            <v>7.9298000000000007E-3</v>
          </cell>
        </row>
        <row r="367">
          <cell r="Q367">
            <v>-2.4922E-3</v>
          </cell>
        </row>
        <row r="368">
          <cell r="Q368">
            <v>0</v>
          </cell>
        </row>
        <row r="369">
          <cell r="Q369">
            <v>0</v>
          </cell>
        </row>
        <row r="370">
          <cell r="Q370">
            <v>1.2794E-3</v>
          </cell>
        </row>
        <row r="371">
          <cell r="Q371">
            <v>0.36798845000000002</v>
          </cell>
        </row>
        <row r="372">
          <cell r="Q372">
            <v>-0.36673417699999999</v>
          </cell>
        </row>
        <row r="373">
          <cell r="Q373">
            <v>2.3624624E-2</v>
          </cell>
        </row>
        <row r="374">
          <cell r="Q374">
            <v>0</v>
          </cell>
        </row>
        <row r="375">
          <cell r="Q375">
            <v>0</v>
          </cell>
        </row>
        <row r="376">
          <cell r="Q376">
            <v>4.3639999999999998E-4</v>
          </cell>
        </row>
        <row r="377">
          <cell r="Q377">
            <v>3.8449087999999999E-2</v>
          </cell>
        </row>
        <row r="378">
          <cell r="Q378">
            <v>-7.3876000000000002E-3</v>
          </cell>
        </row>
        <row r="379">
          <cell r="Q379">
            <v>0</v>
          </cell>
        </row>
        <row r="380">
          <cell r="Q380">
            <v>0</v>
          </cell>
        </row>
        <row r="381">
          <cell r="Q381">
            <v>6.7677150000000005E-2</v>
          </cell>
        </row>
        <row r="382">
          <cell r="Q382">
            <v>0</v>
          </cell>
        </row>
        <row r="383">
          <cell r="Q383">
            <v>1.0289999999999999E-4</v>
          </cell>
        </row>
        <row r="384">
          <cell r="Q384">
            <v>9.2089488999999997E-2</v>
          </cell>
        </row>
        <row r="385">
          <cell r="Q385">
            <v>-2.2689028E-2</v>
          </cell>
        </row>
        <row r="386">
          <cell r="Q386">
            <v>0</v>
          </cell>
        </row>
        <row r="387">
          <cell r="Q387">
            <v>0</v>
          </cell>
        </row>
        <row r="388">
          <cell r="Q388">
            <v>1.1204724000000001E-2</v>
          </cell>
        </row>
        <row r="389">
          <cell r="Q389">
            <v>0</v>
          </cell>
        </row>
        <row r="390">
          <cell r="Q390">
            <v>0</v>
          </cell>
        </row>
        <row r="391">
          <cell r="Q391">
            <v>0</v>
          </cell>
        </row>
        <row r="392">
          <cell r="Q392">
            <v>0</v>
          </cell>
        </row>
        <row r="393">
          <cell r="Q393">
            <v>0</v>
          </cell>
        </row>
        <row r="394">
          <cell r="Q394">
            <v>0</v>
          </cell>
        </row>
        <row r="395">
          <cell r="Q395">
            <v>0</v>
          </cell>
        </row>
        <row r="396">
          <cell r="Q396">
            <v>0</v>
          </cell>
        </row>
        <row r="397">
          <cell r="Q397">
            <v>8.0869999999999998E-4</v>
          </cell>
        </row>
        <row r="398">
          <cell r="Q398">
            <v>0.14220459999999999</v>
          </cell>
        </row>
        <row r="399">
          <cell r="Q399">
            <v>0</v>
          </cell>
        </row>
        <row r="400">
          <cell r="Q400">
            <v>0</v>
          </cell>
        </row>
        <row r="401">
          <cell r="Q401">
            <v>0</v>
          </cell>
        </row>
        <row r="402">
          <cell r="Q402">
            <v>2.2469999999999999E-4</v>
          </cell>
        </row>
        <row r="403">
          <cell r="Q403">
            <v>1.1719908999999999E-2</v>
          </cell>
        </row>
        <row r="404">
          <cell r="Q404">
            <v>0</v>
          </cell>
        </row>
        <row r="405">
          <cell r="Q405">
            <v>0</v>
          </cell>
        </row>
        <row r="406">
          <cell r="Q406">
            <v>0</v>
          </cell>
        </row>
        <row r="407">
          <cell r="Q407">
            <v>1.8813928000000001E-2</v>
          </cell>
        </row>
        <row r="408">
          <cell r="Q408">
            <v>-1.15929E-2</v>
          </cell>
        </row>
        <row r="409">
          <cell r="Q409">
            <v>0</v>
          </cell>
        </row>
        <row r="410">
          <cell r="Q410">
            <v>0</v>
          </cell>
        </row>
        <row r="411">
          <cell r="Q411">
            <v>2.7460000000000001E-4</v>
          </cell>
        </row>
        <row r="412">
          <cell r="Q412">
            <v>2.9795609000000004E-2</v>
          </cell>
        </row>
        <row r="413">
          <cell r="Q413">
            <v>1.6041E-3</v>
          </cell>
        </row>
        <row r="414">
          <cell r="Q414">
            <v>0</v>
          </cell>
        </row>
        <row r="415">
          <cell r="Q415">
            <v>0</v>
          </cell>
        </row>
        <row r="416">
          <cell r="Q416">
            <v>6.8100000000000002E-5</v>
          </cell>
        </row>
        <row r="417">
          <cell r="Q417">
            <v>4.2986512999999997E-2</v>
          </cell>
        </row>
        <row r="418">
          <cell r="Q418">
            <v>0</v>
          </cell>
        </row>
        <row r="419">
          <cell r="Q419">
            <v>3.4875319999999998E-3</v>
          </cell>
        </row>
        <row r="420">
          <cell r="Q420">
            <v>0</v>
          </cell>
        </row>
        <row r="421">
          <cell r="Q421">
            <v>0</v>
          </cell>
        </row>
        <row r="422">
          <cell r="Q422">
            <v>0</v>
          </cell>
        </row>
        <row r="423">
          <cell r="Q423">
            <v>8.7989999999999997E-4</v>
          </cell>
        </row>
        <row r="424">
          <cell r="Q424">
            <v>3.7963355999999997E-2</v>
          </cell>
        </row>
        <row r="425">
          <cell r="Q425">
            <v>0</v>
          </cell>
        </row>
        <row r="426">
          <cell r="Q426">
            <v>0</v>
          </cell>
        </row>
        <row r="427">
          <cell r="Q427">
            <v>0</v>
          </cell>
        </row>
        <row r="428">
          <cell r="Q428">
            <v>1.030008E-3</v>
          </cell>
        </row>
        <row r="429">
          <cell r="Q429">
            <v>0</v>
          </cell>
        </row>
        <row r="430">
          <cell r="Q430">
            <v>4.4900000000000002E-4</v>
          </cell>
        </row>
        <row r="431">
          <cell r="Q431">
            <v>0.15990193999999999</v>
          </cell>
        </row>
        <row r="432">
          <cell r="Q432">
            <v>0</v>
          </cell>
        </row>
        <row r="433">
          <cell r="Q433">
            <v>9.6584999999999998E-4</v>
          </cell>
        </row>
        <row r="434">
          <cell r="Q434">
            <v>0</v>
          </cell>
        </row>
        <row r="435">
          <cell r="Q435">
            <v>0</v>
          </cell>
        </row>
        <row r="436">
          <cell r="Q436">
            <v>0</v>
          </cell>
        </row>
        <row r="437">
          <cell r="Q437">
            <v>1.492887E-3</v>
          </cell>
        </row>
        <row r="438">
          <cell r="Q438">
            <v>0</v>
          </cell>
        </row>
        <row r="439">
          <cell r="Q439">
            <v>1.1000000000000001E-6</v>
          </cell>
        </row>
        <row r="440">
          <cell r="Q440">
            <v>8.7385899999999992E-3</v>
          </cell>
        </row>
        <row r="441">
          <cell r="Q441">
            <v>-8.7385899999999992E-3</v>
          </cell>
        </row>
        <row r="442">
          <cell r="Q442">
            <v>0</v>
          </cell>
        </row>
        <row r="443">
          <cell r="Q443">
            <v>0</v>
          </cell>
        </row>
        <row r="444">
          <cell r="Q444">
            <v>0</v>
          </cell>
        </row>
        <row r="445">
          <cell r="Q445">
            <v>0</v>
          </cell>
        </row>
        <row r="446">
          <cell r="Q446">
            <v>5.8199999999999998E-5</v>
          </cell>
        </row>
        <row r="447">
          <cell r="Q447">
            <v>6.2560088E-2</v>
          </cell>
        </row>
        <row r="448">
          <cell r="Q448">
            <v>-5.0077000000000003E-3</v>
          </cell>
        </row>
        <row r="449">
          <cell r="Q449">
            <v>0</v>
          </cell>
        </row>
        <row r="450">
          <cell r="Q450">
            <v>0</v>
          </cell>
        </row>
        <row r="451">
          <cell r="Q451">
            <v>0</v>
          </cell>
        </row>
        <row r="452">
          <cell r="Q452">
            <v>1.4149E-3</v>
          </cell>
        </row>
        <row r="453">
          <cell r="Q453">
            <v>0</v>
          </cell>
        </row>
        <row r="454">
          <cell r="Q454">
            <v>1.3186694000000001E-2</v>
          </cell>
        </row>
        <row r="455">
          <cell r="Q455">
            <v>0</v>
          </cell>
        </row>
        <row r="456">
          <cell r="Q456">
            <v>0</v>
          </cell>
        </row>
        <row r="457">
          <cell r="Q457">
            <v>0</v>
          </cell>
        </row>
        <row r="458">
          <cell r="Q458">
            <v>1.15335E-3</v>
          </cell>
        </row>
        <row r="459">
          <cell r="Q459">
            <v>0</v>
          </cell>
        </row>
        <row r="460">
          <cell r="Q460">
            <v>9.77475E-4</v>
          </cell>
        </row>
        <row r="461">
          <cell r="Q461">
            <v>0.61610948499999996</v>
          </cell>
        </row>
        <row r="462">
          <cell r="Q462">
            <v>-2.4304000000000001E-3</v>
          </cell>
        </row>
        <row r="463">
          <cell r="Q463">
            <v>0</v>
          </cell>
        </row>
        <row r="464">
          <cell r="Q464">
            <v>0</v>
          </cell>
        </row>
        <row r="465">
          <cell r="Q465">
            <v>0</v>
          </cell>
        </row>
        <row r="466">
          <cell r="Q466">
            <v>3.0927404999999998E-2</v>
          </cell>
        </row>
        <row r="467">
          <cell r="Q467">
            <v>-1.225E-4</v>
          </cell>
        </row>
        <row r="468">
          <cell r="Q468">
            <v>5.8097800000000001E-4</v>
          </cell>
        </row>
        <row r="469">
          <cell r="Q469">
            <v>0</v>
          </cell>
        </row>
        <row r="470">
          <cell r="Q470">
            <v>9.3382650000000001E-3</v>
          </cell>
        </row>
        <row r="471">
          <cell r="Q471">
            <v>-8.3774000000000001E-3</v>
          </cell>
        </row>
        <row r="472">
          <cell r="Q472">
            <v>1.526765E-3</v>
          </cell>
        </row>
        <row r="473">
          <cell r="Q473">
            <v>0</v>
          </cell>
          <cell r="R473">
            <v>0</v>
          </cell>
        </row>
        <row r="474">
          <cell r="Q474">
            <v>0</v>
          </cell>
          <cell r="R474">
            <v>50.636203999999999</v>
          </cell>
        </row>
        <row r="475">
          <cell r="Q475">
            <v>0</v>
          </cell>
          <cell r="R475">
            <v>40.57</v>
          </cell>
        </row>
        <row r="476">
          <cell r="G476">
            <v>1.8209302000000001</v>
          </cell>
          <cell r="R476">
            <v>1.8209302000000001</v>
          </cell>
        </row>
        <row r="477">
          <cell r="G477">
            <v>6.1968694289999995</v>
          </cell>
          <cell r="R477">
            <v>6.1968694289999995</v>
          </cell>
        </row>
        <row r="478">
          <cell r="G478">
            <v>0</v>
          </cell>
          <cell r="R478">
            <v>0</v>
          </cell>
        </row>
        <row r="479">
          <cell r="G479">
            <v>4.8521920999999999</v>
          </cell>
          <cell r="R479">
            <v>4.8521920999999999</v>
          </cell>
        </row>
        <row r="480">
          <cell r="G480">
            <v>0</v>
          </cell>
          <cell r="R480">
            <v>0</v>
          </cell>
        </row>
        <row r="481">
          <cell r="G481">
            <v>0.46325</v>
          </cell>
          <cell r="R481">
            <v>0.46325</v>
          </cell>
        </row>
        <row r="482">
          <cell r="G482">
            <v>41.093311154000006</v>
          </cell>
          <cell r="R482">
            <v>41.093311154000006</v>
          </cell>
        </row>
        <row r="483">
          <cell r="G483">
            <v>0</v>
          </cell>
          <cell r="R483">
            <v>0</v>
          </cell>
        </row>
        <row r="485">
          <cell r="Q485">
            <v>-4.2678999999999998E-3</v>
          </cell>
          <cell r="R485">
            <v>0</v>
          </cell>
        </row>
        <row r="486">
          <cell r="Q486">
            <v>1.5937779999999999E-2</v>
          </cell>
          <cell r="R486">
            <v>0</v>
          </cell>
        </row>
        <row r="487">
          <cell r="Q487">
            <v>0</v>
          </cell>
          <cell r="R487">
            <v>0</v>
          </cell>
        </row>
        <row r="488">
          <cell r="Q488">
            <v>0</v>
          </cell>
          <cell r="R488">
            <v>0</v>
          </cell>
        </row>
        <row r="489">
          <cell r="Q489">
            <v>0.10752818700000001</v>
          </cell>
          <cell r="R489">
            <v>0</v>
          </cell>
        </row>
        <row r="490">
          <cell r="Q490">
            <v>0</v>
          </cell>
          <cell r="R490">
            <v>0</v>
          </cell>
        </row>
        <row r="491">
          <cell r="Q491">
            <v>0</v>
          </cell>
          <cell r="R491">
            <v>0</v>
          </cell>
        </row>
        <row r="492">
          <cell r="Q492">
            <v>1.1761035</v>
          </cell>
          <cell r="R492">
            <v>0</v>
          </cell>
        </row>
        <row r="493">
          <cell r="Q493">
            <v>0</v>
          </cell>
          <cell r="R493">
            <v>0</v>
          </cell>
        </row>
        <row r="494">
          <cell r="Q494">
            <v>0</v>
          </cell>
          <cell r="R494">
            <v>0</v>
          </cell>
        </row>
        <row r="495">
          <cell r="Q495">
            <v>0</v>
          </cell>
          <cell r="R495">
            <v>0</v>
          </cell>
        </row>
        <row r="496">
          <cell r="Q496">
            <v>0</v>
          </cell>
          <cell r="R496">
            <v>0</v>
          </cell>
        </row>
        <row r="497">
          <cell r="Q497">
            <v>1.0620000000000001E-4</v>
          </cell>
          <cell r="R497">
            <v>0</v>
          </cell>
        </row>
        <row r="498">
          <cell r="Q498">
            <v>0</v>
          </cell>
          <cell r="R498">
            <v>0</v>
          </cell>
        </row>
        <row r="499">
          <cell r="Q499">
            <v>8.9930000000000001E-4</v>
          </cell>
          <cell r="R499">
            <v>0</v>
          </cell>
        </row>
        <row r="500">
          <cell r="R500">
            <v>1270.2212525</v>
          </cell>
        </row>
        <row r="501">
          <cell r="R501">
            <v>1.2595403000000001</v>
          </cell>
        </row>
        <row r="502">
          <cell r="R502">
            <v>5.4722199999999999E-2</v>
          </cell>
        </row>
        <row r="503">
          <cell r="R503">
            <v>0.94409642400000005</v>
          </cell>
        </row>
        <row r="504">
          <cell r="D504">
            <v>27414</v>
          </cell>
          <cell r="E504" t="str">
            <v>TCS credit receivable under section 206</v>
          </cell>
          <cell r="Q504">
            <v>1.6680127490000001</v>
          </cell>
        </row>
        <row r="505">
          <cell r="R505">
            <v>2.6844937100000004</v>
          </cell>
        </row>
        <row r="506">
          <cell r="R506">
            <v>46.410694900000003</v>
          </cell>
        </row>
        <row r="507">
          <cell r="Q507">
            <v>0</v>
          </cell>
          <cell r="R507">
            <v>0</v>
          </cell>
        </row>
        <row r="508">
          <cell r="G508">
            <v>621.19324143599999</v>
          </cell>
          <cell r="Q508">
            <v>621.19324143599999</v>
          </cell>
        </row>
        <row r="509">
          <cell r="G509">
            <v>52.715622682999999</v>
          </cell>
          <cell r="R509">
            <v>52.715622682999999</v>
          </cell>
        </row>
        <row r="510">
          <cell r="G510">
            <v>0</v>
          </cell>
        </row>
        <row r="511">
          <cell r="Q511">
            <v>5.9257579000000005E-2</v>
          </cell>
        </row>
        <row r="512">
          <cell r="Q512">
            <v>0</v>
          </cell>
          <cell r="R512">
            <v>0</v>
          </cell>
        </row>
        <row r="513">
          <cell r="Q513">
            <v>0</v>
          </cell>
        </row>
        <row r="514">
          <cell r="Q514">
            <v>0</v>
          </cell>
        </row>
        <row r="515">
          <cell r="Q515">
            <v>0</v>
          </cell>
        </row>
        <row r="516">
          <cell r="Q516">
            <v>25.598738600000001</v>
          </cell>
          <cell r="R516">
            <v>0</v>
          </cell>
        </row>
        <row r="517">
          <cell r="R517">
            <v>0</v>
          </cell>
        </row>
        <row r="518">
          <cell r="Q518">
            <v>27.608270213999997</v>
          </cell>
        </row>
        <row r="519">
          <cell r="Q519">
            <v>0</v>
          </cell>
          <cell r="R519">
            <v>0</v>
          </cell>
        </row>
        <row r="520">
          <cell r="Q520">
            <v>0</v>
          </cell>
          <cell r="R520">
            <v>0</v>
          </cell>
        </row>
        <row r="521">
          <cell r="Q521">
            <v>35.312575172000003</v>
          </cell>
        </row>
        <row r="522">
          <cell r="R522">
            <v>1.4262655</v>
          </cell>
        </row>
        <row r="523">
          <cell r="Q523">
            <v>3.0832314859999999</v>
          </cell>
        </row>
        <row r="524">
          <cell r="Q524">
            <v>-4.0000000000000001E-8</v>
          </cell>
        </row>
        <row r="525">
          <cell r="Q525">
            <v>-4.0000000000000001E-8</v>
          </cell>
        </row>
        <row r="526">
          <cell r="Q526">
            <v>-6.1887399999999999E-3</v>
          </cell>
        </row>
        <row r="527">
          <cell r="Q527">
            <v>8.5900422000000004E-2</v>
          </cell>
        </row>
        <row r="528">
          <cell r="Q528">
            <v>8.5900422000000004E-2</v>
          </cell>
        </row>
        <row r="529">
          <cell r="Q529">
            <v>0</v>
          </cell>
        </row>
        <row r="530">
          <cell r="Q530">
            <v>0.65784640400000005</v>
          </cell>
        </row>
        <row r="531">
          <cell r="Q531">
            <v>0.10361361899999999</v>
          </cell>
        </row>
        <row r="532">
          <cell r="Q532">
            <v>0.10361361899999999</v>
          </cell>
        </row>
        <row r="533">
          <cell r="Q533">
            <v>0.20380018999999999</v>
          </cell>
        </row>
        <row r="534">
          <cell r="Q534">
            <v>1.3000000000000001E-8</v>
          </cell>
        </row>
        <row r="535">
          <cell r="Q535">
            <v>1.3000000000000001E-8</v>
          </cell>
        </row>
        <row r="536">
          <cell r="Q536">
            <v>3.1E-8</v>
          </cell>
        </row>
        <row r="537">
          <cell r="Q537">
            <v>2.940679668</v>
          </cell>
        </row>
        <row r="538">
          <cell r="Q538">
            <v>5564.6297004089993</v>
          </cell>
        </row>
        <row r="539">
          <cell r="Q539">
            <v>0</v>
          </cell>
        </row>
        <row r="540">
          <cell r="Q540">
            <v>0</v>
          </cell>
          <cell r="R540">
            <v>0</v>
          </cell>
        </row>
        <row r="541">
          <cell r="Q541">
            <v>0</v>
          </cell>
        </row>
        <row r="542">
          <cell r="Q542">
            <v>0</v>
          </cell>
        </row>
        <row r="543">
          <cell r="Q543">
            <v>0</v>
          </cell>
        </row>
        <row r="544">
          <cell r="Q544">
            <v>0</v>
          </cell>
        </row>
        <row r="545">
          <cell r="Q545">
            <v>0</v>
          </cell>
        </row>
        <row r="546">
          <cell r="Q546">
            <v>0</v>
          </cell>
        </row>
        <row r="547">
          <cell r="Q547">
            <v>0</v>
          </cell>
        </row>
        <row r="548">
          <cell r="Q548">
            <v>0</v>
          </cell>
        </row>
        <row r="549">
          <cell r="Q549">
            <v>0</v>
          </cell>
        </row>
        <row r="550">
          <cell r="Q550">
            <v>0</v>
          </cell>
        </row>
        <row r="551">
          <cell r="Q551">
            <v>0</v>
          </cell>
        </row>
        <row r="552">
          <cell r="Q552">
            <v>0</v>
          </cell>
        </row>
        <row r="553">
          <cell r="Q553">
            <v>0</v>
          </cell>
        </row>
        <row r="554">
          <cell r="Q554">
            <v>0</v>
          </cell>
        </row>
        <row r="555">
          <cell r="Q555">
            <v>0</v>
          </cell>
        </row>
        <row r="556">
          <cell r="Q556">
            <v>0</v>
          </cell>
        </row>
        <row r="557">
          <cell r="Q557">
            <v>0</v>
          </cell>
        </row>
        <row r="558">
          <cell r="Q558">
            <v>0</v>
          </cell>
        </row>
        <row r="559">
          <cell r="Q559">
            <v>0</v>
          </cell>
        </row>
        <row r="560">
          <cell r="Q560">
            <v>0</v>
          </cell>
        </row>
        <row r="561">
          <cell r="Q561">
            <v>0</v>
          </cell>
        </row>
        <row r="562">
          <cell r="Q562">
            <v>0</v>
          </cell>
        </row>
        <row r="563">
          <cell r="Q563">
            <v>0</v>
          </cell>
        </row>
        <row r="564">
          <cell r="Q564">
            <v>0</v>
          </cell>
        </row>
        <row r="565">
          <cell r="Q565">
            <v>0</v>
          </cell>
        </row>
        <row r="566">
          <cell r="Q566">
            <v>0</v>
          </cell>
        </row>
        <row r="567">
          <cell r="Q567">
            <v>0</v>
          </cell>
        </row>
        <row r="568">
          <cell r="Q568">
            <v>0</v>
          </cell>
        </row>
        <row r="569">
          <cell r="Q569">
            <v>0</v>
          </cell>
        </row>
        <row r="570">
          <cell r="Q570">
            <v>0</v>
          </cell>
        </row>
        <row r="571">
          <cell r="Q571">
            <v>0</v>
          </cell>
        </row>
        <row r="572">
          <cell r="Q572">
            <v>0</v>
          </cell>
        </row>
        <row r="573">
          <cell r="Q573">
            <v>0</v>
          </cell>
        </row>
        <row r="574">
          <cell r="Q574">
            <v>0</v>
          </cell>
        </row>
        <row r="575">
          <cell r="Q575">
            <v>0</v>
          </cell>
        </row>
        <row r="576">
          <cell r="Q576">
            <v>0</v>
          </cell>
        </row>
        <row r="577">
          <cell r="Q577">
            <v>0</v>
          </cell>
        </row>
        <row r="578">
          <cell r="Q578">
            <v>0</v>
          </cell>
        </row>
        <row r="579">
          <cell r="Q579">
            <v>0</v>
          </cell>
        </row>
        <row r="580">
          <cell r="Q580">
            <v>0</v>
          </cell>
        </row>
        <row r="581">
          <cell r="Q581">
            <v>0</v>
          </cell>
        </row>
        <row r="582">
          <cell r="Q582">
            <v>0</v>
          </cell>
        </row>
        <row r="583">
          <cell r="Q583">
            <v>0</v>
          </cell>
        </row>
        <row r="584">
          <cell r="Q584">
            <v>0</v>
          </cell>
        </row>
        <row r="585">
          <cell r="Q585">
            <v>0</v>
          </cell>
        </row>
        <row r="586">
          <cell r="Q586">
            <v>0</v>
          </cell>
        </row>
        <row r="587">
          <cell r="Q587">
            <v>-5.0000000000000001E-9</v>
          </cell>
        </row>
        <row r="588">
          <cell r="Q588">
            <v>0</v>
          </cell>
        </row>
        <row r="589">
          <cell r="Q589">
            <v>0</v>
          </cell>
        </row>
        <row r="590">
          <cell r="Q590">
            <v>8.8239500000000012E-4</v>
          </cell>
        </row>
        <row r="591">
          <cell r="Q591">
            <v>40.267268516000001</v>
          </cell>
        </row>
        <row r="592">
          <cell r="Q592">
            <v>0</v>
          </cell>
        </row>
        <row r="593">
          <cell r="Q593">
            <v>0</v>
          </cell>
        </row>
        <row r="594">
          <cell r="Q594">
            <v>0.113044748</v>
          </cell>
        </row>
        <row r="595">
          <cell r="Q595">
            <v>0</v>
          </cell>
        </row>
        <row r="596">
          <cell r="Q596">
            <v>1.0772083E-2</v>
          </cell>
        </row>
        <row r="597">
          <cell r="Q597">
            <v>0</v>
          </cell>
        </row>
        <row r="598">
          <cell r="Q598">
            <v>1.3928632240000001</v>
          </cell>
        </row>
        <row r="599">
          <cell r="Q599">
            <v>0.81766317699999991</v>
          </cell>
        </row>
        <row r="600">
          <cell r="Q600">
            <v>3.7465772579999999</v>
          </cell>
        </row>
        <row r="601">
          <cell r="Q601">
            <v>0</v>
          </cell>
        </row>
        <row r="602">
          <cell r="Q602">
            <v>0</v>
          </cell>
        </row>
        <row r="603">
          <cell r="Q603">
            <v>54.148500883000004</v>
          </cell>
        </row>
        <row r="604">
          <cell r="Q604">
            <v>0</v>
          </cell>
        </row>
        <row r="605">
          <cell r="Q605">
            <v>1.55033741</v>
          </cell>
        </row>
        <row r="606">
          <cell r="Q606">
            <v>1.0560911660000001</v>
          </cell>
        </row>
        <row r="607">
          <cell r="Q607">
            <v>0.256908462</v>
          </cell>
        </row>
        <row r="608">
          <cell r="Q608">
            <v>6.945456E-3</v>
          </cell>
        </row>
        <row r="609">
          <cell r="Q609">
            <v>0</v>
          </cell>
        </row>
        <row r="610">
          <cell r="Q610">
            <v>59.184314821000001</v>
          </cell>
        </row>
        <row r="611">
          <cell r="Q611">
            <v>87.798107730999988</v>
          </cell>
        </row>
        <row r="612">
          <cell r="Q612">
            <v>0.60724770400000005</v>
          </cell>
        </row>
        <row r="613">
          <cell r="Q613">
            <v>0</v>
          </cell>
        </row>
        <row r="614">
          <cell r="Q614">
            <v>0.20894006000000001</v>
          </cell>
        </row>
        <row r="615">
          <cell r="Q615">
            <v>7.1146055E-2</v>
          </cell>
        </row>
        <row r="616">
          <cell r="Q616">
            <v>4.8362300000000004E-3</v>
          </cell>
        </row>
        <row r="617">
          <cell r="Q617">
            <v>0</v>
          </cell>
        </row>
        <row r="618">
          <cell r="Q618">
            <v>0</v>
          </cell>
        </row>
        <row r="619">
          <cell r="Q619">
            <v>0</v>
          </cell>
        </row>
        <row r="620">
          <cell r="Q620">
            <v>8.4977166000000007E-2</v>
          </cell>
        </row>
        <row r="621">
          <cell r="Q621">
            <v>0.17046778899999998</v>
          </cell>
        </row>
        <row r="622">
          <cell r="Q622">
            <v>0.80761085799999999</v>
          </cell>
        </row>
        <row r="623">
          <cell r="Q623">
            <v>97.033344397000064</v>
          </cell>
          <cell r="R623">
            <v>558.20255659999998</v>
          </cell>
        </row>
        <row r="624">
          <cell r="Q624">
            <v>0</v>
          </cell>
        </row>
        <row r="625">
          <cell r="Q625">
            <v>142.04039931199998</v>
          </cell>
          <cell r="R625">
            <v>595.24605069999996</v>
          </cell>
        </row>
        <row r="626">
          <cell r="Q626">
            <v>19.470870300000001</v>
          </cell>
        </row>
        <row r="627">
          <cell r="Q627">
            <v>0</v>
          </cell>
        </row>
        <row r="628">
          <cell r="Q628">
            <v>0</v>
          </cell>
        </row>
        <row r="629">
          <cell r="Q629">
            <v>0</v>
          </cell>
        </row>
        <row r="630">
          <cell r="Q630">
            <v>1.3970186</v>
          </cell>
        </row>
        <row r="631">
          <cell r="Q631">
            <v>0.13512250000000001</v>
          </cell>
        </row>
        <row r="632">
          <cell r="Q632">
            <v>2.7799999999999999E-3</v>
          </cell>
        </row>
        <row r="633">
          <cell r="Q633">
            <v>13.467218965000001</v>
          </cell>
        </row>
        <row r="634">
          <cell r="Q634">
            <v>0</v>
          </cell>
        </row>
        <row r="635">
          <cell r="Q635">
            <v>8.0587071120000004</v>
          </cell>
        </row>
        <row r="636">
          <cell r="Q636">
            <v>-0.13634497300000001</v>
          </cell>
        </row>
        <row r="637">
          <cell r="Q637">
            <v>7.1564000000000003E-2</v>
          </cell>
        </row>
        <row r="638">
          <cell r="Q638">
            <v>6.5560000000000002E-3</v>
          </cell>
        </row>
        <row r="639">
          <cell r="Q639">
            <v>0</v>
          </cell>
        </row>
        <row r="640">
          <cell r="Q640">
            <v>0</v>
          </cell>
        </row>
        <row r="641">
          <cell r="Q641">
            <v>1.0301036990000001</v>
          </cell>
        </row>
        <row r="642">
          <cell r="Q642">
            <v>2.5473099999999999E-2</v>
          </cell>
        </row>
        <row r="643">
          <cell r="Q643">
            <v>0</v>
          </cell>
        </row>
        <row r="644">
          <cell r="Q644">
            <v>-6.4999999999999994E-5</v>
          </cell>
        </row>
        <row r="645">
          <cell r="Q645">
            <v>0</v>
          </cell>
        </row>
        <row r="646">
          <cell r="Q646">
            <v>22.611454511000002</v>
          </cell>
        </row>
        <row r="647">
          <cell r="Q647">
            <v>9.6231115000000006E-2</v>
          </cell>
        </row>
        <row r="648">
          <cell r="Q648">
            <v>0</v>
          </cell>
        </row>
        <row r="649">
          <cell r="Q649">
            <v>1.963626E-3</v>
          </cell>
        </row>
        <row r="650">
          <cell r="Q650">
            <v>435.28291478999995</v>
          </cell>
        </row>
        <row r="651">
          <cell r="G651">
            <v>76.211765499999998</v>
          </cell>
        </row>
        <row r="652">
          <cell r="Q652">
            <v>11.092862007999999</v>
          </cell>
        </row>
        <row r="653">
          <cell r="Q653">
            <v>223.98553004099998</v>
          </cell>
        </row>
        <row r="654">
          <cell r="D654">
            <v>46434</v>
          </cell>
          <cell r="Q654">
            <v>143.34015883641359</v>
          </cell>
          <cell r="R654">
            <v>2926.5594399255865</v>
          </cell>
        </row>
        <row r="655">
          <cell r="Q655">
            <v>2.5797696989999999</v>
          </cell>
        </row>
        <row r="656">
          <cell r="Q656">
            <v>0</v>
          </cell>
        </row>
        <row r="657">
          <cell r="Q657">
            <v>13.0395278</v>
          </cell>
        </row>
        <row r="658">
          <cell r="Q658">
            <v>0</v>
          </cell>
        </row>
        <row r="659">
          <cell r="Q659">
            <v>0</v>
          </cell>
        </row>
        <row r="660">
          <cell r="Q660">
            <v>51.338448</v>
          </cell>
        </row>
        <row r="661">
          <cell r="Q661">
            <v>43.5531048</v>
          </cell>
        </row>
        <row r="662">
          <cell r="Q662">
            <v>0</v>
          </cell>
        </row>
        <row r="663">
          <cell r="Q663">
            <v>0</v>
          </cell>
        </row>
        <row r="664">
          <cell r="Q664">
            <v>0</v>
          </cell>
        </row>
        <row r="665">
          <cell r="Q665">
            <v>9.9999999999999995E-8</v>
          </cell>
        </row>
        <row r="666">
          <cell r="Q666">
            <v>0</v>
          </cell>
        </row>
        <row r="667">
          <cell r="R667">
            <v>1026.6424787999999</v>
          </cell>
        </row>
        <row r="668">
          <cell r="Q668">
            <v>0</v>
          </cell>
        </row>
        <row r="669">
          <cell r="Q669">
            <v>0</v>
          </cell>
        </row>
        <row r="670">
          <cell r="Q670">
            <v>4.3370850000000001</v>
          </cell>
        </row>
        <row r="671">
          <cell r="Q671">
            <v>5.4462000000000003E-2</v>
          </cell>
        </row>
        <row r="672">
          <cell r="Q672">
            <v>1.2110301999999999</v>
          </cell>
        </row>
        <row r="673">
          <cell r="Q673">
            <v>1.94019E-2</v>
          </cell>
        </row>
        <row r="674">
          <cell r="Q674">
            <v>13.926456468000001</v>
          </cell>
        </row>
        <row r="675">
          <cell r="Q675">
            <v>-3.2223E-3</v>
          </cell>
        </row>
        <row r="676">
          <cell r="Q676">
            <v>0.50649469999999996</v>
          </cell>
        </row>
        <row r="677">
          <cell r="Q677">
            <v>0</v>
          </cell>
        </row>
        <row r="678">
          <cell r="Q678">
            <v>2.809873434</v>
          </cell>
        </row>
        <row r="679">
          <cell r="Q679">
            <v>0</v>
          </cell>
        </row>
        <row r="680">
          <cell r="Q680">
            <v>0</v>
          </cell>
        </row>
        <row r="681">
          <cell r="Q681">
            <v>0</v>
          </cell>
        </row>
        <row r="682">
          <cell r="Q682">
            <v>0</v>
          </cell>
        </row>
        <row r="683">
          <cell r="Q683">
            <v>12.586332901</v>
          </cell>
        </row>
        <row r="684">
          <cell r="Q684">
            <v>12.585642601</v>
          </cell>
        </row>
        <row r="685">
          <cell r="Q685">
            <v>0.312431827</v>
          </cell>
        </row>
        <row r="686">
          <cell r="Q686">
            <v>7.6431736069999996</v>
          </cell>
        </row>
        <row r="687">
          <cell r="Q687">
            <v>7.6471400069999991</v>
          </cell>
        </row>
        <row r="688">
          <cell r="Q688">
            <v>17.350511218000001</v>
          </cell>
        </row>
        <row r="689">
          <cell r="Q689">
            <v>0</v>
          </cell>
        </row>
        <row r="690">
          <cell r="Q690">
            <v>0.61250196800000001</v>
          </cell>
        </row>
        <row r="691">
          <cell r="Q691">
            <v>0</v>
          </cell>
        </row>
        <row r="692">
          <cell r="Q692">
            <v>0</v>
          </cell>
        </row>
        <row r="693">
          <cell r="Q693">
            <v>0</v>
          </cell>
        </row>
        <row r="694">
          <cell r="Q694">
            <v>0</v>
          </cell>
        </row>
        <row r="695">
          <cell r="Q695">
            <v>0</v>
          </cell>
        </row>
        <row r="696">
          <cell r="Q696">
            <v>0</v>
          </cell>
        </row>
        <row r="697">
          <cell r="Q697">
            <v>0</v>
          </cell>
        </row>
        <row r="698">
          <cell r="Q698">
            <v>0</v>
          </cell>
        </row>
        <row r="699">
          <cell r="Q699">
            <v>0.11946757299999999</v>
          </cell>
        </row>
        <row r="700">
          <cell r="Q700">
            <v>0.119491782</v>
          </cell>
        </row>
        <row r="701">
          <cell r="Q701">
            <v>-0.30690197299999999</v>
          </cell>
        </row>
        <row r="702">
          <cell r="Q702">
            <v>0</v>
          </cell>
        </row>
        <row r="703">
          <cell r="Q703">
            <v>0</v>
          </cell>
        </row>
        <row r="704">
          <cell r="Q704">
            <v>4.0000000000000001E-8</v>
          </cell>
        </row>
        <row r="705">
          <cell r="Q705">
            <v>-1.9499999999999999E-7</v>
          </cell>
        </row>
        <row r="706">
          <cell r="Q706">
            <v>0</v>
          </cell>
        </row>
        <row r="707">
          <cell r="Q707">
            <v>0</v>
          </cell>
        </row>
        <row r="708">
          <cell r="Q708">
            <v>0.66904633899999999</v>
          </cell>
        </row>
        <row r="709">
          <cell r="Q709">
            <v>0</v>
          </cell>
        </row>
        <row r="710">
          <cell r="Q710">
            <v>31.485594899999999</v>
          </cell>
        </row>
        <row r="711">
          <cell r="Q711">
            <v>3.5000000000000001E-3</v>
          </cell>
        </row>
        <row r="712">
          <cell r="R712">
            <v>22.086150316999998</v>
          </cell>
        </row>
        <row r="713">
          <cell r="R713">
            <v>65.934250626999997</v>
          </cell>
        </row>
        <row r="714">
          <cell r="Q714">
            <v>385.94918471199998</v>
          </cell>
        </row>
        <row r="715">
          <cell r="Q715">
            <v>39.395743226999997</v>
          </cell>
        </row>
        <row r="716">
          <cell r="Q716">
            <v>487.7325586</v>
          </cell>
        </row>
        <row r="717">
          <cell r="Q717">
            <v>6.1501480000000004E-2</v>
          </cell>
        </row>
        <row r="718">
          <cell r="Q718">
            <v>0</v>
          </cell>
        </row>
        <row r="719">
          <cell r="Q719">
            <v>687.49966649999999</v>
          </cell>
        </row>
        <row r="720">
          <cell r="Q720">
            <v>0</v>
          </cell>
        </row>
        <row r="721">
          <cell r="Q721">
            <v>0</v>
          </cell>
        </row>
        <row r="722">
          <cell r="Q722">
            <v>0</v>
          </cell>
        </row>
        <row r="723">
          <cell r="Q723">
            <v>0</v>
          </cell>
        </row>
        <row r="724">
          <cell r="Q724">
            <v>0</v>
          </cell>
        </row>
        <row r="725">
          <cell r="Q725">
            <v>3525.3710953999998</v>
          </cell>
        </row>
        <row r="726">
          <cell r="Q726">
            <v>0</v>
          </cell>
        </row>
        <row r="727">
          <cell r="Q727">
            <v>0</v>
          </cell>
        </row>
        <row r="728">
          <cell r="Q728">
            <v>0</v>
          </cell>
        </row>
        <row r="729">
          <cell r="Q729">
            <v>0</v>
          </cell>
        </row>
        <row r="730">
          <cell r="Q730">
            <v>0</v>
          </cell>
        </row>
        <row r="731">
          <cell r="Q731">
            <v>0</v>
          </cell>
        </row>
        <row r="732">
          <cell r="Q732">
            <v>137.49999869999999</v>
          </cell>
        </row>
        <row r="733">
          <cell r="Q733">
            <v>0</v>
          </cell>
        </row>
        <row r="734">
          <cell r="Q734">
            <v>1483.3333332</v>
          </cell>
        </row>
        <row r="735">
          <cell r="Q735">
            <v>0</v>
          </cell>
        </row>
        <row r="736">
          <cell r="Q736">
            <v>2603.2399999999998</v>
          </cell>
        </row>
        <row r="737">
          <cell r="Q737">
            <v>0</v>
          </cell>
        </row>
        <row r="738">
          <cell r="Q738">
            <v>2931.8</v>
          </cell>
        </row>
        <row r="739">
          <cell r="Q739">
            <v>908.99978729999998</v>
          </cell>
        </row>
        <row r="740">
          <cell r="Q740">
            <v>340.47577946300004</v>
          </cell>
        </row>
        <row r="741">
          <cell r="Q741">
            <v>1036.9997295000001</v>
          </cell>
        </row>
        <row r="742">
          <cell r="Q742">
            <v>0</v>
          </cell>
        </row>
        <row r="743">
          <cell r="Q743">
            <v>0</v>
          </cell>
        </row>
        <row r="744">
          <cell r="Q744">
            <v>0</v>
          </cell>
        </row>
        <row r="745">
          <cell r="Q745">
            <v>0</v>
          </cell>
        </row>
        <row r="746">
          <cell r="Q746">
            <v>0</v>
          </cell>
        </row>
        <row r="747">
          <cell r="Q747">
            <v>0</v>
          </cell>
        </row>
        <row r="748">
          <cell r="Q748">
            <v>0</v>
          </cell>
        </row>
        <row r="749">
          <cell r="Q749">
            <v>0</v>
          </cell>
        </row>
        <row r="750">
          <cell r="Q750">
            <v>0</v>
          </cell>
        </row>
        <row r="751">
          <cell r="Q751">
            <v>0</v>
          </cell>
        </row>
        <row r="752">
          <cell r="Q752">
            <v>0</v>
          </cell>
        </row>
        <row r="753">
          <cell r="Q753">
            <v>0</v>
          </cell>
        </row>
        <row r="754">
          <cell r="Q754">
            <v>0</v>
          </cell>
        </row>
        <row r="755">
          <cell r="Q755">
            <v>0</v>
          </cell>
        </row>
        <row r="756">
          <cell r="Q756">
            <v>0</v>
          </cell>
          <cell r="R756">
            <v>0</v>
          </cell>
        </row>
        <row r="757">
          <cell r="Q757">
            <v>0</v>
          </cell>
          <cell r="R757">
            <v>0</v>
          </cell>
        </row>
        <row r="758">
          <cell r="Q758">
            <v>0</v>
          </cell>
          <cell r="R758">
            <v>0</v>
          </cell>
        </row>
        <row r="759">
          <cell r="Q759">
            <v>0</v>
          </cell>
          <cell r="R759">
            <v>251.89673189999999</v>
          </cell>
        </row>
        <row r="760">
          <cell r="Q760">
            <v>0</v>
          </cell>
          <cell r="R760">
            <v>0</v>
          </cell>
        </row>
        <row r="761">
          <cell r="Q761">
            <v>0</v>
          </cell>
          <cell r="R761">
            <v>0</v>
          </cell>
        </row>
        <row r="762">
          <cell r="Q762">
            <v>0</v>
          </cell>
          <cell r="R762">
            <v>0</v>
          </cell>
        </row>
        <row r="763">
          <cell r="Q763">
            <v>0</v>
          </cell>
          <cell r="R763">
            <v>0</v>
          </cell>
        </row>
        <row r="764">
          <cell r="Q764">
            <v>0</v>
          </cell>
          <cell r="R764">
            <v>0</v>
          </cell>
        </row>
        <row r="765">
          <cell r="Q765">
            <v>0</v>
          </cell>
          <cell r="R765">
            <v>0</v>
          </cell>
        </row>
        <row r="766">
          <cell r="Q766">
            <v>0</v>
          </cell>
          <cell r="R766">
            <v>0</v>
          </cell>
        </row>
        <row r="767">
          <cell r="Q767">
            <v>0</v>
          </cell>
          <cell r="R767">
            <v>0</v>
          </cell>
        </row>
        <row r="768">
          <cell r="Q768">
            <v>0</v>
          </cell>
          <cell r="R768">
            <v>0</v>
          </cell>
        </row>
        <row r="769">
          <cell r="Q769">
            <v>0</v>
          </cell>
          <cell r="R769">
            <v>0</v>
          </cell>
        </row>
        <row r="770">
          <cell r="Q770">
            <v>0</v>
          </cell>
          <cell r="R770">
            <v>0</v>
          </cell>
        </row>
        <row r="771">
          <cell r="Q771">
            <v>0</v>
          </cell>
          <cell r="R771">
            <v>0</v>
          </cell>
        </row>
        <row r="772">
          <cell r="Q772">
            <v>0</v>
          </cell>
          <cell r="R772">
            <v>0</v>
          </cell>
        </row>
        <row r="773">
          <cell r="Q773">
            <v>0</v>
          </cell>
          <cell r="R773">
            <v>0</v>
          </cell>
        </row>
        <row r="774">
          <cell r="Q774">
            <v>0</v>
          </cell>
          <cell r="R774">
            <v>0</v>
          </cell>
        </row>
        <row r="775">
          <cell r="Q775">
            <v>0</v>
          </cell>
          <cell r="R775">
            <v>0</v>
          </cell>
        </row>
        <row r="776">
          <cell r="Q776">
            <v>0</v>
          </cell>
          <cell r="R776">
            <v>0</v>
          </cell>
        </row>
        <row r="777">
          <cell r="Q777">
            <v>0</v>
          </cell>
          <cell r="R777">
            <v>0</v>
          </cell>
        </row>
        <row r="778">
          <cell r="Q778">
            <v>0</v>
          </cell>
          <cell r="R778">
            <v>0</v>
          </cell>
        </row>
        <row r="779">
          <cell r="Q779">
            <v>0</v>
          </cell>
          <cell r="R779">
            <v>0</v>
          </cell>
        </row>
        <row r="780">
          <cell r="Q780">
            <v>0</v>
          </cell>
          <cell r="R780">
            <v>0</v>
          </cell>
        </row>
        <row r="781">
          <cell r="Q781">
            <v>0</v>
          </cell>
          <cell r="R781">
            <v>0</v>
          </cell>
        </row>
        <row r="782">
          <cell r="Q782">
            <v>0</v>
          </cell>
          <cell r="R782">
            <v>0</v>
          </cell>
        </row>
        <row r="783">
          <cell r="Q783">
            <v>0</v>
          </cell>
          <cell r="R783">
            <v>0</v>
          </cell>
        </row>
        <row r="784">
          <cell r="Q784">
            <v>0</v>
          </cell>
          <cell r="R784">
            <v>0</v>
          </cell>
        </row>
        <row r="785">
          <cell r="Q785">
            <v>0</v>
          </cell>
          <cell r="R785">
            <v>6052.8968507</v>
          </cell>
        </row>
        <row r="786">
          <cell r="Q786">
            <v>0</v>
          </cell>
          <cell r="R786">
            <v>4.7716668000000002</v>
          </cell>
        </row>
        <row r="787">
          <cell r="Q787">
            <v>0</v>
          </cell>
          <cell r="R787">
            <v>201.92370980000001</v>
          </cell>
        </row>
        <row r="788">
          <cell r="Q788">
            <v>0</v>
          </cell>
          <cell r="R788">
            <v>0</v>
          </cell>
        </row>
        <row r="789">
          <cell r="Q789">
            <v>0</v>
          </cell>
          <cell r="R789">
            <v>27.671571499999999</v>
          </cell>
        </row>
        <row r="790">
          <cell r="Q790">
            <v>0</v>
          </cell>
          <cell r="R790">
            <v>78.100000199999997</v>
          </cell>
        </row>
        <row r="791">
          <cell r="Q791">
            <v>0</v>
          </cell>
          <cell r="R791">
            <v>3.9635123999999999</v>
          </cell>
        </row>
        <row r="792">
          <cell r="Q792">
            <v>0</v>
          </cell>
          <cell r="R792">
            <v>68.291800300000006</v>
          </cell>
        </row>
        <row r="793">
          <cell r="Q793">
            <v>0</v>
          </cell>
          <cell r="R793">
            <v>0</v>
          </cell>
        </row>
        <row r="794">
          <cell r="Q794">
            <v>0</v>
          </cell>
          <cell r="R794">
            <v>0</v>
          </cell>
        </row>
        <row r="795">
          <cell r="D795">
            <v>53040</v>
          </cell>
          <cell r="Q795">
            <v>0</v>
          </cell>
          <cell r="R795">
            <v>3.5282371000000001</v>
          </cell>
        </row>
        <row r="796">
          <cell r="Q796">
            <v>0</v>
          </cell>
          <cell r="R796">
            <v>12.203099999999999</v>
          </cell>
        </row>
        <row r="797">
          <cell r="Q797">
            <v>0</v>
          </cell>
          <cell r="R797">
            <v>0</v>
          </cell>
        </row>
        <row r="798">
          <cell r="Q798">
            <v>0</v>
          </cell>
          <cell r="R798">
            <v>0</v>
          </cell>
        </row>
        <row r="799">
          <cell r="Q799">
            <v>0</v>
          </cell>
          <cell r="R799">
            <v>0</v>
          </cell>
        </row>
        <row r="800">
          <cell r="Q800">
            <v>0</v>
          </cell>
          <cell r="R800">
            <v>1.84426</v>
          </cell>
        </row>
        <row r="801">
          <cell r="Q801">
            <v>0</v>
          </cell>
          <cell r="R801">
            <v>0.34708660000000002</v>
          </cell>
        </row>
        <row r="802">
          <cell r="Q802">
            <v>0</v>
          </cell>
          <cell r="R802">
            <v>4.3368171999999996</v>
          </cell>
        </row>
        <row r="803">
          <cell r="Q803">
            <v>0</v>
          </cell>
          <cell r="R803">
            <v>4.4185619999999997</v>
          </cell>
        </row>
        <row r="804">
          <cell r="Q804">
            <v>0</v>
          </cell>
          <cell r="R804">
            <v>0</v>
          </cell>
        </row>
        <row r="805">
          <cell r="Q805">
            <v>0</v>
          </cell>
          <cell r="R805">
            <v>3.7423511999999999</v>
          </cell>
        </row>
        <row r="806">
          <cell r="Q806">
            <v>0</v>
          </cell>
          <cell r="R806">
            <v>0</v>
          </cell>
        </row>
        <row r="807">
          <cell r="Q807">
            <v>0</v>
          </cell>
          <cell r="R807">
            <v>0</v>
          </cell>
        </row>
        <row r="808">
          <cell r="Q808">
            <v>0</v>
          </cell>
          <cell r="R808">
            <v>8.0179378000000003</v>
          </cell>
        </row>
        <row r="809">
          <cell r="Q809">
            <v>0</v>
          </cell>
          <cell r="R809">
            <v>18.38</v>
          </cell>
        </row>
        <row r="810">
          <cell r="Q810">
            <v>0</v>
          </cell>
          <cell r="R810">
            <v>11.336497700000001</v>
          </cell>
        </row>
        <row r="811">
          <cell r="Q811">
            <v>0</v>
          </cell>
          <cell r="R811">
            <v>6.3466661000000002</v>
          </cell>
        </row>
        <row r="812">
          <cell r="Q812">
            <v>0</v>
          </cell>
          <cell r="R812">
            <v>0</v>
          </cell>
        </row>
        <row r="813">
          <cell r="Q813">
            <v>0</v>
          </cell>
          <cell r="R813">
            <v>0.83160509999999999</v>
          </cell>
        </row>
        <row r="814">
          <cell r="Q814">
            <v>0</v>
          </cell>
          <cell r="R814">
            <v>3.4929098999999999</v>
          </cell>
        </row>
        <row r="815">
          <cell r="Q815">
            <v>0</v>
          </cell>
          <cell r="R815">
            <v>1.0026366</v>
          </cell>
        </row>
        <row r="816">
          <cell r="Q816">
            <v>0</v>
          </cell>
          <cell r="R816">
            <v>3.2415259000000001</v>
          </cell>
        </row>
        <row r="817">
          <cell r="Q817">
            <v>0</v>
          </cell>
          <cell r="R817">
            <v>0</v>
          </cell>
        </row>
        <row r="818">
          <cell r="Q818">
            <v>0</v>
          </cell>
          <cell r="R818">
            <v>0</v>
          </cell>
        </row>
        <row r="819">
          <cell r="Q819">
            <v>0</v>
          </cell>
          <cell r="R819">
            <v>0</v>
          </cell>
        </row>
        <row r="820">
          <cell r="Q820">
            <v>0</v>
          </cell>
          <cell r="R820">
            <v>0</v>
          </cell>
        </row>
        <row r="821">
          <cell r="Q821">
            <v>0</v>
          </cell>
          <cell r="R821">
            <v>0</v>
          </cell>
        </row>
        <row r="822">
          <cell r="Q822">
            <v>0</v>
          </cell>
          <cell r="R822">
            <v>0</v>
          </cell>
        </row>
        <row r="823">
          <cell r="Q823">
            <v>0</v>
          </cell>
          <cell r="R823">
            <v>0</v>
          </cell>
        </row>
        <row r="824">
          <cell r="Q824">
            <v>0</v>
          </cell>
          <cell r="R824">
            <v>0</v>
          </cell>
        </row>
        <row r="825">
          <cell r="Q825">
            <v>0</v>
          </cell>
          <cell r="R825">
            <v>0</v>
          </cell>
        </row>
        <row r="826">
          <cell r="Q826">
            <v>0</v>
          </cell>
          <cell r="R826">
            <v>409.31060500000001</v>
          </cell>
        </row>
        <row r="827">
          <cell r="Q827">
            <v>0</v>
          </cell>
          <cell r="R827">
            <v>1887.1727430999999</v>
          </cell>
        </row>
        <row r="828">
          <cell r="D828">
            <v>53073</v>
          </cell>
          <cell r="E828" t="str">
            <v>PFC LTL-21540002 (Project-Gare Palma)</v>
          </cell>
          <cell r="Q828">
            <v>0</v>
          </cell>
          <cell r="R828">
            <v>180</v>
          </cell>
        </row>
        <row r="829">
          <cell r="D829">
            <v>53074</v>
          </cell>
          <cell r="E829" t="str">
            <v>PFC LTL-21504090 (Capex-Bhusawal TPS)</v>
          </cell>
          <cell r="Q829">
            <v>0</v>
          </cell>
          <cell r="R829">
            <v>2.3513516000000001</v>
          </cell>
        </row>
        <row r="830">
          <cell r="D830">
            <v>53075</v>
          </cell>
          <cell r="E830" t="str">
            <v>PFC LTL-21504091 (Capex-Nasik TPS)</v>
          </cell>
          <cell r="Q830">
            <v>0</v>
          </cell>
          <cell r="R830">
            <v>1.7411399000000001</v>
          </cell>
        </row>
        <row r="831">
          <cell r="Q831">
            <v>0</v>
          </cell>
          <cell r="R831">
            <v>4.4467920000000003</v>
          </cell>
        </row>
        <row r="832">
          <cell r="Q832">
            <v>0</v>
          </cell>
          <cell r="R832">
            <v>10.65</v>
          </cell>
        </row>
        <row r="833">
          <cell r="D833">
            <v>53081</v>
          </cell>
          <cell r="E833" t="str">
            <v>PFC LTL-21504097 (Capex-Pune REC circle</v>
          </cell>
          <cell r="Q833">
            <v>0</v>
          </cell>
          <cell r="R833">
            <v>4.6243607000000004</v>
          </cell>
        </row>
        <row r="834">
          <cell r="Q834">
            <v>0</v>
          </cell>
          <cell r="R834">
            <v>17.0366766</v>
          </cell>
        </row>
        <row r="835">
          <cell r="Q835">
            <v>0</v>
          </cell>
          <cell r="R835">
            <v>12.8103008</v>
          </cell>
        </row>
        <row r="836">
          <cell r="Q836">
            <v>0</v>
          </cell>
          <cell r="R836">
            <v>41.024519300000001</v>
          </cell>
        </row>
        <row r="837">
          <cell r="Q837">
            <v>0</v>
          </cell>
          <cell r="R837">
            <v>1723.9663146</v>
          </cell>
        </row>
        <row r="838">
          <cell r="Q838">
            <v>0</v>
          </cell>
          <cell r="R838">
            <v>2919.3066730999999</v>
          </cell>
        </row>
        <row r="839">
          <cell r="Q839">
            <v>0</v>
          </cell>
          <cell r="R839">
            <v>821.65820010000004</v>
          </cell>
        </row>
        <row r="840">
          <cell r="Q840">
            <v>0</v>
          </cell>
          <cell r="R840">
            <v>5.1572978999999997</v>
          </cell>
        </row>
        <row r="841">
          <cell r="Q841">
            <v>0</v>
          </cell>
          <cell r="R841">
            <v>2.9200976999999999</v>
          </cell>
        </row>
        <row r="842">
          <cell r="Q842">
            <v>0</v>
          </cell>
          <cell r="R842">
            <v>0.58555029999999997</v>
          </cell>
        </row>
        <row r="843">
          <cell r="Q843">
            <v>0</v>
          </cell>
          <cell r="R843">
            <v>1.9949718999999999</v>
          </cell>
        </row>
        <row r="844">
          <cell r="Q844">
            <v>0</v>
          </cell>
          <cell r="R844">
            <v>0</v>
          </cell>
        </row>
        <row r="845">
          <cell r="Q845">
            <v>0</v>
          </cell>
          <cell r="R845">
            <v>1.5995225</v>
          </cell>
        </row>
        <row r="846">
          <cell r="Q846">
            <v>0</v>
          </cell>
          <cell r="R846">
            <v>0</v>
          </cell>
        </row>
        <row r="847">
          <cell r="Q847">
            <v>0</v>
          </cell>
          <cell r="R847">
            <v>0</v>
          </cell>
        </row>
        <row r="848">
          <cell r="Q848">
            <v>0</v>
          </cell>
          <cell r="R848">
            <v>0.24952750000000001</v>
          </cell>
        </row>
        <row r="849">
          <cell r="Q849">
            <v>0</v>
          </cell>
          <cell r="R849">
            <v>733.68421020000005</v>
          </cell>
        </row>
        <row r="850">
          <cell r="Q850">
            <v>0</v>
          </cell>
          <cell r="R850">
            <v>88.903182000000001</v>
          </cell>
        </row>
        <row r="851">
          <cell r="Q851">
            <v>0</v>
          </cell>
          <cell r="R851">
            <v>10.5699144</v>
          </cell>
        </row>
        <row r="852">
          <cell r="Q852">
            <v>0</v>
          </cell>
          <cell r="R852">
            <v>12.928551499999999</v>
          </cell>
        </row>
        <row r="853">
          <cell r="Q853">
            <v>0</v>
          </cell>
          <cell r="R853">
            <v>7.8559745999999997</v>
          </cell>
        </row>
        <row r="854">
          <cell r="Q854">
            <v>0</v>
          </cell>
          <cell r="R854">
            <v>7.9278098999999997</v>
          </cell>
        </row>
        <row r="855">
          <cell r="Q855">
            <v>0</v>
          </cell>
          <cell r="R855">
            <v>0</v>
          </cell>
        </row>
        <row r="856">
          <cell r="Q856">
            <v>0</v>
          </cell>
          <cell r="R856">
            <v>8.1686949999999996</v>
          </cell>
        </row>
        <row r="857">
          <cell r="Q857">
            <v>0</v>
          </cell>
          <cell r="R857">
            <v>8.6447746999999993</v>
          </cell>
        </row>
        <row r="858">
          <cell r="Q858">
            <v>0</v>
          </cell>
          <cell r="R858">
            <v>26.7247898</v>
          </cell>
        </row>
        <row r="859">
          <cell r="Q859">
            <v>0</v>
          </cell>
          <cell r="R859">
            <v>6.9500061000000004</v>
          </cell>
        </row>
        <row r="860">
          <cell r="Q860">
            <v>0</v>
          </cell>
          <cell r="R860">
            <v>10.065970999999999</v>
          </cell>
        </row>
        <row r="861">
          <cell r="Q861">
            <v>0</v>
          </cell>
          <cell r="R861">
            <v>8.5249830000000006</v>
          </cell>
        </row>
        <row r="862">
          <cell r="Q862">
            <v>0</v>
          </cell>
          <cell r="R862">
            <v>12.260475</v>
          </cell>
        </row>
        <row r="863">
          <cell r="Q863">
            <v>0</v>
          </cell>
          <cell r="R863">
            <v>13.0864735</v>
          </cell>
        </row>
        <row r="864">
          <cell r="Q864">
            <v>0</v>
          </cell>
          <cell r="R864">
            <v>10.7680805</v>
          </cell>
        </row>
        <row r="865">
          <cell r="Q865">
            <v>0</v>
          </cell>
          <cell r="R865">
            <v>9.8213582000000006</v>
          </cell>
        </row>
        <row r="866">
          <cell r="Q866">
            <v>0</v>
          </cell>
          <cell r="R866">
            <v>23.166284000000001</v>
          </cell>
        </row>
        <row r="867">
          <cell r="Q867">
            <v>0</v>
          </cell>
          <cell r="R867">
            <v>3.4272459999999998</v>
          </cell>
        </row>
        <row r="868">
          <cell r="Q868">
            <v>0</v>
          </cell>
          <cell r="R868">
            <v>38.509095299999998</v>
          </cell>
        </row>
        <row r="869">
          <cell r="Q869">
            <v>0</v>
          </cell>
          <cell r="R869">
            <v>2.8924399999999999E-2</v>
          </cell>
        </row>
        <row r="870">
          <cell r="Q870">
            <v>0</v>
          </cell>
          <cell r="R870">
            <v>14.421340900000001</v>
          </cell>
        </row>
        <row r="871">
          <cell r="Q871">
            <v>0</v>
          </cell>
          <cell r="R871">
            <v>33.025323299999997</v>
          </cell>
        </row>
        <row r="872">
          <cell r="Q872">
            <v>0</v>
          </cell>
          <cell r="R872">
            <v>6.7761078000000001</v>
          </cell>
        </row>
        <row r="873">
          <cell r="Q873">
            <v>0</v>
          </cell>
          <cell r="R873">
            <v>7.9750917000000001</v>
          </cell>
        </row>
        <row r="874">
          <cell r="Q874">
            <v>0</v>
          </cell>
          <cell r="R874">
            <v>8.4047900000000002</v>
          </cell>
        </row>
        <row r="875">
          <cell r="Q875">
            <v>0</v>
          </cell>
          <cell r="R875">
            <v>10.151325</v>
          </cell>
        </row>
        <row r="876">
          <cell r="Q876">
            <v>0</v>
          </cell>
          <cell r="R876">
            <v>0</v>
          </cell>
        </row>
        <row r="877">
          <cell r="Q877">
            <v>0</v>
          </cell>
          <cell r="R877">
            <v>7.2962942000000002</v>
          </cell>
        </row>
        <row r="878">
          <cell r="Q878">
            <v>0</v>
          </cell>
          <cell r="R878">
            <v>0</v>
          </cell>
        </row>
        <row r="879">
          <cell r="Q879">
            <v>0</v>
          </cell>
          <cell r="R879">
            <v>9.2326403999999993</v>
          </cell>
        </row>
        <row r="880">
          <cell r="Q880">
            <v>0</v>
          </cell>
          <cell r="R880">
            <v>11.468321599999999</v>
          </cell>
        </row>
        <row r="881">
          <cell r="Q881">
            <v>0</v>
          </cell>
          <cell r="R881">
            <v>24.002999899999999</v>
          </cell>
        </row>
        <row r="882">
          <cell r="Q882">
            <v>0</v>
          </cell>
          <cell r="R882">
            <v>7.6642181999999996</v>
          </cell>
        </row>
        <row r="883">
          <cell r="Q883">
            <v>0</v>
          </cell>
          <cell r="R883">
            <v>6.3271705999999996</v>
          </cell>
        </row>
        <row r="884">
          <cell r="Q884">
            <v>0</v>
          </cell>
          <cell r="R884">
            <v>13.266750999999999</v>
          </cell>
        </row>
        <row r="885">
          <cell r="Q885">
            <v>0</v>
          </cell>
          <cell r="R885">
            <v>14.327324900000001</v>
          </cell>
        </row>
        <row r="886">
          <cell r="Q886">
            <v>0</v>
          </cell>
          <cell r="R886">
            <v>2.0115056</v>
          </cell>
        </row>
        <row r="887">
          <cell r="Q887">
            <v>0</v>
          </cell>
          <cell r="R887">
            <v>13.9640583</v>
          </cell>
        </row>
        <row r="888">
          <cell r="Q888">
            <v>0</v>
          </cell>
          <cell r="R888">
            <v>100.1641242</v>
          </cell>
        </row>
        <row r="889">
          <cell r="Q889">
            <v>0</v>
          </cell>
          <cell r="R889">
            <v>0</v>
          </cell>
        </row>
        <row r="890">
          <cell r="Q890">
            <v>0</v>
          </cell>
          <cell r="R890">
            <v>16.857282699999999</v>
          </cell>
        </row>
        <row r="891">
          <cell r="Q891">
            <v>0</v>
          </cell>
          <cell r="R891">
            <v>7.7380810999999996</v>
          </cell>
        </row>
        <row r="892">
          <cell r="Q892">
            <v>0</v>
          </cell>
          <cell r="R892">
            <v>9.2294082999999993</v>
          </cell>
        </row>
        <row r="893">
          <cell r="Q893">
            <v>0</v>
          </cell>
          <cell r="R893">
            <v>8.3996668999999997</v>
          </cell>
        </row>
        <row r="894">
          <cell r="Q894">
            <v>0</v>
          </cell>
          <cell r="R894">
            <v>6.8404683000000004</v>
          </cell>
        </row>
        <row r="895">
          <cell r="Q895">
            <v>0</v>
          </cell>
          <cell r="R895">
            <v>8.9098401999999997</v>
          </cell>
        </row>
        <row r="896">
          <cell r="Q896">
            <v>0</v>
          </cell>
          <cell r="R896">
            <v>10.0654363</v>
          </cell>
        </row>
        <row r="897">
          <cell r="Q897">
            <v>0</v>
          </cell>
          <cell r="R897">
            <v>11.7275241</v>
          </cell>
        </row>
        <row r="898">
          <cell r="Q898">
            <v>0</v>
          </cell>
          <cell r="R898">
            <v>8.1835857000000001</v>
          </cell>
        </row>
        <row r="899">
          <cell r="Q899">
            <v>0</v>
          </cell>
          <cell r="R899">
            <v>0</v>
          </cell>
        </row>
        <row r="900">
          <cell r="Q900">
            <v>0</v>
          </cell>
          <cell r="R900">
            <v>37.247599999999998</v>
          </cell>
        </row>
        <row r="901">
          <cell r="Q901">
            <v>0</v>
          </cell>
          <cell r="R901">
            <v>9.3152205000000006</v>
          </cell>
        </row>
        <row r="902">
          <cell r="Q902">
            <v>0</v>
          </cell>
          <cell r="R902">
            <v>9.3045579000000007</v>
          </cell>
        </row>
        <row r="903">
          <cell r="Q903">
            <v>0</v>
          </cell>
          <cell r="R903">
            <v>6.2697906999999997</v>
          </cell>
        </row>
        <row r="904">
          <cell r="Q904">
            <v>0</v>
          </cell>
          <cell r="R904">
            <v>0</v>
          </cell>
        </row>
        <row r="905">
          <cell r="Q905">
            <v>0</v>
          </cell>
          <cell r="R905">
            <v>16.283950000000001</v>
          </cell>
        </row>
        <row r="906">
          <cell r="Q906">
            <v>0</v>
          </cell>
          <cell r="R906">
            <v>7.476</v>
          </cell>
        </row>
        <row r="907">
          <cell r="Q907">
            <v>0</v>
          </cell>
          <cell r="R907">
            <v>0</v>
          </cell>
        </row>
        <row r="908">
          <cell r="Q908">
            <v>0</v>
          </cell>
          <cell r="R908">
            <v>12.2225552</v>
          </cell>
        </row>
        <row r="909">
          <cell r="Q909">
            <v>0</v>
          </cell>
          <cell r="R909">
            <v>3.7926599999999998E-2</v>
          </cell>
        </row>
        <row r="910">
          <cell r="Q910">
            <v>0</v>
          </cell>
          <cell r="R910">
            <v>7.1223995999999996</v>
          </cell>
        </row>
        <row r="911">
          <cell r="Q911">
            <v>0</v>
          </cell>
          <cell r="R911">
            <v>19.801876199999999</v>
          </cell>
        </row>
        <row r="912">
          <cell r="Q912">
            <v>0</v>
          </cell>
          <cell r="R912">
            <v>8.3018000000000001</v>
          </cell>
        </row>
        <row r="913">
          <cell r="Q913">
            <v>0</v>
          </cell>
          <cell r="R913">
            <v>6.78</v>
          </cell>
        </row>
        <row r="914">
          <cell r="Q914">
            <v>0</v>
          </cell>
          <cell r="R914">
            <v>0</v>
          </cell>
        </row>
        <row r="915">
          <cell r="Q915">
            <v>0</v>
          </cell>
          <cell r="R915">
            <v>6.3944998000000002</v>
          </cell>
        </row>
        <row r="916">
          <cell r="Q916">
            <v>0</v>
          </cell>
          <cell r="R916">
            <v>3233.8955907</v>
          </cell>
        </row>
        <row r="917">
          <cell r="D917">
            <v>53381</v>
          </cell>
          <cell r="Q917">
            <v>0</v>
          </cell>
          <cell r="R917">
            <v>19.759889600000001</v>
          </cell>
        </row>
        <row r="918">
          <cell r="D918">
            <v>53382</v>
          </cell>
          <cell r="Q918">
            <v>0</v>
          </cell>
          <cell r="R918">
            <v>10.7584</v>
          </cell>
        </row>
        <row r="919">
          <cell r="D919">
            <v>53383</v>
          </cell>
          <cell r="Q919">
            <v>0</v>
          </cell>
          <cell r="R919">
            <v>10.795225500000001</v>
          </cell>
        </row>
        <row r="920">
          <cell r="D920">
            <v>53384</v>
          </cell>
          <cell r="Q920">
            <v>0</v>
          </cell>
          <cell r="R920">
            <v>65.932272400000002</v>
          </cell>
        </row>
        <row r="921">
          <cell r="D921">
            <v>53385</v>
          </cell>
          <cell r="Q921">
            <v>0</v>
          </cell>
          <cell r="R921">
            <v>12.434544799999999</v>
          </cell>
        </row>
        <row r="922">
          <cell r="D922">
            <v>53386</v>
          </cell>
          <cell r="Q922">
            <v>0</v>
          </cell>
          <cell r="R922">
            <v>0</v>
          </cell>
        </row>
        <row r="923">
          <cell r="D923">
            <v>53387</v>
          </cell>
          <cell r="Q923">
            <v>0</v>
          </cell>
          <cell r="R923">
            <v>7.3727999999999998</v>
          </cell>
        </row>
        <row r="924">
          <cell r="D924">
            <v>53388</v>
          </cell>
          <cell r="Q924">
            <v>0</v>
          </cell>
          <cell r="R924">
            <v>6.2581366000000003</v>
          </cell>
        </row>
        <row r="925">
          <cell r="D925">
            <v>53389</v>
          </cell>
          <cell r="Q925">
            <v>0</v>
          </cell>
          <cell r="R925">
            <v>7.4143799000000001</v>
          </cell>
        </row>
        <row r="926">
          <cell r="D926">
            <v>53390</v>
          </cell>
          <cell r="Q926">
            <v>0</v>
          </cell>
          <cell r="R926">
            <v>15.3576</v>
          </cell>
        </row>
        <row r="927">
          <cell r="D927">
            <v>53391</v>
          </cell>
          <cell r="Q927">
            <v>0</v>
          </cell>
          <cell r="R927">
            <v>13.3927598</v>
          </cell>
        </row>
        <row r="928">
          <cell r="D928">
            <v>53392</v>
          </cell>
          <cell r="Q928">
            <v>0</v>
          </cell>
          <cell r="R928">
            <v>7.420248</v>
          </cell>
        </row>
        <row r="929">
          <cell r="D929">
            <v>53393</v>
          </cell>
          <cell r="Q929">
            <v>0</v>
          </cell>
          <cell r="R929">
            <v>0</v>
          </cell>
        </row>
        <row r="930">
          <cell r="D930">
            <v>53394</v>
          </cell>
          <cell r="Q930">
            <v>0</v>
          </cell>
          <cell r="R930">
            <v>9.0713524999999997</v>
          </cell>
        </row>
        <row r="931">
          <cell r="D931">
            <v>53395</v>
          </cell>
          <cell r="Q931">
            <v>0</v>
          </cell>
          <cell r="R931">
            <v>7.077</v>
          </cell>
        </row>
        <row r="932">
          <cell r="D932">
            <v>53396</v>
          </cell>
          <cell r="Q932">
            <v>0</v>
          </cell>
          <cell r="R932">
            <v>8.1424112999999991</v>
          </cell>
        </row>
        <row r="933">
          <cell r="D933">
            <v>53397</v>
          </cell>
          <cell r="Q933">
            <v>0</v>
          </cell>
          <cell r="R933">
            <v>7.2876124000000004</v>
          </cell>
        </row>
        <row r="934">
          <cell r="D934">
            <v>53398</v>
          </cell>
          <cell r="Q934">
            <v>0</v>
          </cell>
          <cell r="R934">
            <v>5.9225671000000002</v>
          </cell>
        </row>
        <row r="935">
          <cell r="D935">
            <v>53399</v>
          </cell>
          <cell r="Q935">
            <v>0</v>
          </cell>
          <cell r="R935">
            <v>1.734</v>
          </cell>
        </row>
        <row r="936">
          <cell r="D936">
            <v>53400</v>
          </cell>
          <cell r="Q936">
            <v>0</v>
          </cell>
          <cell r="R936">
            <v>7.5960000000000001</v>
          </cell>
        </row>
        <row r="937">
          <cell r="R937">
            <v>0</v>
          </cell>
        </row>
        <row r="938">
          <cell r="R938">
            <v>0</v>
          </cell>
        </row>
        <row r="939">
          <cell r="R939">
            <v>0</v>
          </cell>
        </row>
        <row r="940">
          <cell r="R940">
            <v>0</v>
          </cell>
        </row>
        <row r="941">
          <cell r="R941">
            <v>0</v>
          </cell>
        </row>
        <row r="942">
          <cell r="R942">
            <v>0</v>
          </cell>
        </row>
        <row r="943">
          <cell r="R943">
            <v>0</v>
          </cell>
        </row>
        <row r="944">
          <cell r="R944">
            <v>0</v>
          </cell>
        </row>
        <row r="945">
          <cell r="R945">
            <v>0</v>
          </cell>
        </row>
        <row r="946">
          <cell r="R946">
            <v>0</v>
          </cell>
        </row>
        <row r="947">
          <cell r="R947">
            <v>0</v>
          </cell>
        </row>
        <row r="948">
          <cell r="R948">
            <v>0</v>
          </cell>
        </row>
        <row r="949">
          <cell r="R949">
            <v>0</v>
          </cell>
        </row>
        <row r="950">
          <cell r="R950">
            <v>0</v>
          </cell>
        </row>
        <row r="951">
          <cell r="R951">
            <v>0</v>
          </cell>
        </row>
        <row r="952">
          <cell r="R952">
            <v>110.3069577</v>
          </cell>
        </row>
        <row r="953">
          <cell r="R953">
            <v>0</v>
          </cell>
        </row>
        <row r="954">
          <cell r="R954">
            <v>270.9090928</v>
          </cell>
        </row>
        <row r="955">
          <cell r="R955">
            <v>0</v>
          </cell>
        </row>
        <row r="956">
          <cell r="R956">
            <v>0</v>
          </cell>
        </row>
        <row r="957">
          <cell r="R957">
            <v>13.224503858</v>
          </cell>
        </row>
        <row r="958">
          <cell r="R958">
            <v>1066.6391994000001</v>
          </cell>
        </row>
        <row r="959">
          <cell r="D959">
            <v>53423</v>
          </cell>
          <cell r="E959" t="str">
            <v>REC LT-16770(Project-Gare Palma)</v>
          </cell>
          <cell r="R959">
            <v>355.7161997</v>
          </cell>
        </row>
        <row r="960">
          <cell r="D960">
            <v>53424</v>
          </cell>
          <cell r="E960" t="str">
            <v>REC LT-15643(Capex-Chandrapur TPS)</v>
          </cell>
          <cell r="R960">
            <v>2.5439002999999998</v>
          </cell>
        </row>
        <row r="961">
          <cell r="D961">
            <v>53426</v>
          </cell>
          <cell r="E961" t="str">
            <v>REC LT-15654(Capex-Chandrapur TPS)</v>
          </cell>
          <cell r="R961">
            <v>14.656000000000001</v>
          </cell>
        </row>
        <row r="962">
          <cell r="D962">
            <v>53428</v>
          </cell>
          <cell r="E962" t="str">
            <v>REC LT-15656(Capex-Paras TPS)</v>
          </cell>
          <cell r="R962">
            <v>2.4887771999999999</v>
          </cell>
        </row>
        <row r="963">
          <cell r="D963">
            <v>53430</v>
          </cell>
          <cell r="E963" t="str">
            <v>REC LT-16052(Capex-Chandrapur TPS)</v>
          </cell>
          <cell r="R963">
            <v>30.128</v>
          </cell>
        </row>
        <row r="964">
          <cell r="D964">
            <v>53435</v>
          </cell>
          <cell r="E964" t="str">
            <v>REC LT-16057(Capex-Koradi TPS)</v>
          </cell>
          <cell r="R964">
            <v>16.017539800000002</v>
          </cell>
        </row>
        <row r="965">
          <cell r="Q965">
            <v>0</v>
          </cell>
          <cell r="R965">
            <v>0</v>
          </cell>
        </row>
        <row r="966">
          <cell r="Q966">
            <v>0</v>
          </cell>
          <cell r="R966">
            <v>0</v>
          </cell>
        </row>
        <row r="967">
          <cell r="Q967">
            <v>0</v>
          </cell>
          <cell r="R967">
            <v>0</v>
          </cell>
        </row>
        <row r="968">
          <cell r="Q968">
            <v>0</v>
          </cell>
          <cell r="R968">
            <v>0</v>
          </cell>
        </row>
        <row r="969">
          <cell r="Q969">
            <v>0</v>
          </cell>
          <cell r="R969">
            <v>0</v>
          </cell>
        </row>
        <row r="970">
          <cell r="Q970">
            <v>0</v>
          </cell>
          <cell r="R970">
            <v>0</v>
          </cell>
        </row>
        <row r="971">
          <cell r="Q971">
            <v>0</v>
          </cell>
          <cell r="R971">
            <v>0</v>
          </cell>
        </row>
        <row r="972">
          <cell r="Q972">
            <v>0</v>
          </cell>
          <cell r="R972">
            <v>0</v>
          </cell>
        </row>
        <row r="973">
          <cell r="Q973">
            <v>0</v>
          </cell>
          <cell r="R973">
            <v>0</v>
          </cell>
        </row>
        <row r="974">
          <cell r="Q974">
            <v>0</v>
          </cell>
          <cell r="R974">
            <v>0</v>
          </cell>
        </row>
        <row r="975">
          <cell r="Q975">
            <v>0</v>
          </cell>
          <cell r="R975">
            <v>0</v>
          </cell>
        </row>
        <row r="976">
          <cell r="Q976">
            <v>0</v>
          </cell>
          <cell r="R976">
            <v>0</v>
          </cell>
        </row>
        <row r="977">
          <cell r="Q977">
            <v>0</v>
          </cell>
          <cell r="R977">
            <v>0</v>
          </cell>
        </row>
        <row r="978">
          <cell r="Q978">
            <v>0</v>
          </cell>
          <cell r="R978">
            <v>0</v>
          </cell>
        </row>
        <row r="979">
          <cell r="Q979">
            <v>0</v>
          </cell>
          <cell r="R979">
            <v>0</v>
          </cell>
        </row>
        <row r="980">
          <cell r="Q980">
            <v>0</v>
          </cell>
          <cell r="R980">
            <v>0</v>
          </cell>
        </row>
        <row r="981">
          <cell r="Q981">
            <v>0</v>
          </cell>
          <cell r="R981">
            <v>0</v>
          </cell>
        </row>
        <row r="982">
          <cell r="Q982">
            <v>0</v>
          </cell>
          <cell r="R982">
            <v>0</v>
          </cell>
        </row>
        <row r="983">
          <cell r="Q983">
            <v>0</v>
          </cell>
          <cell r="R983">
            <v>0</v>
          </cell>
        </row>
        <row r="984">
          <cell r="Q984">
            <v>0</v>
          </cell>
          <cell r="R984">
            <v>0</v>
          </cell>
        </row>
        <row r="985">
          <cell r="Q985">
            <v>0</v>
          </cell>
          <cell r="R985">
            <v>0</v>
          </cell>
        </row>
        <row r="986">
          <cell r="Q986">
            <v>0</v>
          </cell>
          <cell r="R986">
            <v>0</v>
          </cell>
        </row>
        <row r="987">
          <cell r="Q987">
            <v>0</v>
          </cell>
          <cell r="R987">
            <v>0</v>
          </cell>
        </row>
        <row r="988">
          <cell r="Q988">
            <v>0</v>
          </cell>
          <cell r="R988">
            <v>0</v>
          </cell>
        </row>
        <row r="989">
          <cell r="Q989">
            <v>0</v>
          </cell>
          <cell r="R989">
            <v>0</v>
          </cell>
        </row>
        <row r="990">
          <cell r="Q990">
            <v>0</v>
          </cell>
          <cell r="R990">
            <v>0</v>
          </cell>
        </row>
        <row r="991">
          <cell r="Q991">
            <v>0</v>
          </cell>
          <cell r="R991">
            <v>0</v>
          </cell>
        </row>
        <row r="992">
          <cell r="Q992">
            <v>0</v>
          </cell>
          <cell r="R992">
            <v>0</v>
          </cell>
        </row>
        <row r="993">
          <cell r="Q993">
            <v>0</v>
          </cell>
          <cell r="R993">
            <v>0</v>
          </cell>
        </row>
        <row r="994">
          <cell r="Q994">
            <v>0</v>
          </cell>
          <cell r="R994">
            <v>0</v>
          </cell>
        </row>
        <row r="995">
          <cell r="Q995">
            <v>0</v>
          </cell>
          <cell r="R995">
            <v>0</v>
          </cell>
        </row>
        <row r="996">
          <cell r="Q996">
            <v>0</v>
          </cell>
          <cell r="R996">
            <v>0</v>
          </cell>
        </row>
        <row r="997">
          <cell r="Q997">
            <v>0</v>
          </cell>
          <cell r="R997">
            <v>0</v>
          </cell>
        </row>
        <row r="998">
          <cell r="Q998">
            <v>0</v>
          </cell>
          <cell r="R998">
            <v>0</v>
          </cell>
        </row>
        <row r="999">
          <cell r="D999">
            <v>53551</v>
          </cell>
          <cell r="Q999">
            <v>0</v>
          </cell>
          <cell r="R999">
            <v>10.527815199999999</v>
          </cell>
        </row>
        <row r="1000">
          <cell r="D1000">
            <v>53552</v>
          </cell>
          <cell r="Q1000">
            <v>0</v>
          </cell>
          <cell r="R1000">
            <v>9.0939999999999994</v>
          </cell>
        </row>
        <row r="1001">
          <cell r="D1001">
            <v>53553</v>
          </cell>
          <cell r="Q1001">
            <v>0</v>
          </cell>
          <cell r="R1001">
            <v>9.9644162999999999</v>
          </cell>
        </row>
        <row r="1002">
          <cell r="D1002">
            <v>53554</v>
          </cell>
          <cell r="Q1002">
            <v>0</v>
          </cell>
          <cell r="R1002">
            <v>13.536250000000001</v>
          </cell>
        </row>
        <row r="1003">
          <cell r="D1003">
            <v>53555</v>
          </cell>
          <cell r="Q1003">
            <v>0</v>
          </cell>
          <cell r="R1003">
            <v>8.6173044999999995</v>
          </cell>
        </row>
        <row r="1004">
          <cell r="D1004">
            <v>53556</v>
          </cell>
          <cell r="Q1004">
            <v>0</v>
          </cell>
          <cell r="R1004">
            <v>17.277994700000001</v>
          </cell>
        </row>
        <row r="1005">
          <cell r="D1005">
            <v>53557</v>
          </cell>
          <cell r="Q1005">
            <v>0</v>
          </cell>
          <cell r="R1005">
            <v>0</v>
          </cell>
        </row>
        <row r="1006">
          <cell r="D1006">
            <v>53558</v>
          </cell>
          <cell r="Q1006">
            <v>0</v>
          </cell>
          <cell r="R1006">
            <v>0</v>
          </cell>
        </row>
        <row r="1007">
          <cell r="D1007">
            <v>53559</v>
          </cell>
          <cell r="E1007" t="str">
            <v>REC LT-15090 (Bhusawal Repl)</v>
          </cell>
          <cell r="Q1007">
            <v>0</v>
          </cell>
          <cell r="R1007">
            <v>57.145556599999999</v>
          </cell>
        </row>
        <row r="1008">
          <cell r="D1008">
            <v>53560</v>
          </cell>
          <cell r="Q1008">
            <v>0</v>
          </cell>
          <cell r="R1008">
            <v>480.4410962</v>
          </cell>
        </row>
        <row r="1009">
          <cell r="Q1009">
            <v>0</v>
          </cell>
          <cell r="R1009">
            <v>4.3018941999999996</v>
          </cell>
        </row>
        <row r="1010">
          <cell r="D1010">
            <v>53563</v>
          </cell>
          <cell r="Q1010">
            <v>0</v>
          </cell>
          <cell r="R1010">
            <v>19.552467100000001</v>
          </cell>
        </row>
        <row r="1011">
          <cell r="D1011">
            <v>53566</v>
          </cell>
          <cell r="Q1011">
            <v>0</v>
          </cell>
          <cell r="R1011">
            <v>19.260000399999999</v>
          </cell>
        </row>
        <row r="1012">
          <cell r="Q1012">
            <v>0</v>
          </cell>
          <cell r="R1012">
            <v>9.18</v>
          </cell>
        </row>
        <row r="1013">
          <cell r="Q1013">
            <v>0</v>
          </cell>
          <cell r="R1013">
            <v>1.2502884999999999</v>
          </cell>
        </row>
        <row r="1014">
          <cell r="D1014">
            <v>53571</v>
          </cell>
          <cell r="E1014" t="str">
            <v>REC LT-15060(Capex-Khaperkheda TPS)</v>
          </cell>
          <cell r="Q1014">
            <v>0</v>
          </cell>
          <cell r="R1014">
            <v>10.7826948</v>
          </cell>
        </row>
        <row r="1015">
          <cell r="Q1015">
            <v>0</v>
          </cell>
          <cell r="R1015">
            <v>8.3715624999999996</v>
          </cell>
        </row>
        <row r="1016">
          <cell r="Q1016">
            <v>0</v>
          </cell>
          <cell r="R1016">
            <v>12.048</v>
          </cell>
        </row>
        <row r="1017">
          <cell r="Q1017">
            <v>0</v>
          </cell>
          <cell r="R1017">
            <v>8.1803331999999997</v>
          </cell>
        </row>
        <row r="1018">
          <cell r="Q1018">
            <v>0</v>
          </cell>
          <cell r="R1018">
            <v>7.7531669000000001</v>
          </cell>
        </row>
        <row r="1019">
          <cell r="Q1019">
            <v>0</v>
          </cell>
          <cell r="R1019">
            <v>7.8188370000000003</v>
          </cell>
        </row>
        <row r="1020">
          <cell r="Q1020">
            <v>0</v>
          </cell>
          <cell r="R1020">
            <v>4.0413686999999996</v>
          </cell>
        </row>
        <row r="1021">
          <cell r="D1021">
            <v>53584</v>
          </cell>
          <cell r="Q1021">
            <v>0</v>
          </cell>
          <cell r="R1021">
            <v>5.8583692000000003</v>
          </cell>
        </row>
        <row r="1022">
          <cell r="Q1022">
            <v>0</v>
          </cell>
          <cell r="R1022">
            <v>16.427396000000002</v>
          </cell>
        </row>
        <row r="1023">
          <cell r="Q1023">
            <v>0</v>
          </cell>
          <cell r="R1023">
            <v>11.7230002</v>
          </cell>
        </row>
        <row r="1024">
          <cell r="Q1024">
            <v>0</v>
          </cell>
          <cell r="R1024">
            <v>8.52</v>
          </cell>
        </row>
        <row r="1025">
          <cell r="Q1025">
            <v>0</v>
          </cell>
          <cell r="R1025">
            <v>2.8145699999999998</v>
          </cell>
        </row>
        <row r="1026">
          <cell r="D1026">
            <v>53591</v>
          </cell>
          <cell r="Q1026">
            <v>0</v>
          </cell>
          <cell r="R1026">
            <v>-7.9999999999999996E-7</v>
          </cell>
        </row>
        <row r="1027">
          <cell r="Q1027">
            <v>0</v>
          </cell>
          <cell r="R1027">
            <v>938.07950470000003</v>
          </cell>
        </row>
        <row r="1028">
          <cell r="Q1028">
            <v>0</v>
          </cell>
          <cell r="R1028">
            <v>0.17399999999999999</v>
          </cell>
        </row>
        <row r="1029">
          <cell r="Q1029">
            <v>0</v>
          </cell>
          <cell r="R1029">
            <v>1800</v>
          </cell>
        </row>
        <row r="1030">
          <cell r="Q1030">
            <v>0</v>
          </cell>
          <cell r="R1030">
            <v>1799.9999909999999</v>
          </cell>
        </row>
        <row r="1031">
          <cell r="Q1031">
            <v>0</v>
          </cell>
          <cell r="R1031">
            <v>500</v>
          </cell>
        </row>
        <row r="1032">
          <cell r="R1032">
            <v>160.77756410000001</v>
          </cell>
        </row>
        <row r="1033">
          <cell r="R1033">
            <v>0</v>
          </cell>
        </row>
        <row r="1034">
          <cell r="R1034">
            <v>0</v>
          </cell>
        </row>
        <row r="1035">
          <cell r="R1035">
            <v>0</v>
          </cell>
        </row>
        <row r="1036">
          <cell r="R1036">
            <v>26009.637229426</v>
          </cell>
        </row>
        <row r="1037">
          <cell r="D1037">
            <v>55101</v>
          </cell>
          <cell r="Q1037">
            <v>0.22439999999999999</v>
          </cell>
          <cell r="R1037">
            <v>0</v>
          </cell>
        </row>
        <row r="1038">
          <cell r="D1038">
            <v>55102</v>
          </cell>
          <cell r="Q1038">
            <v>0</v>
          </cell>
          <cell r="R1038">
            <v>0.25</v>
          </cell>
        </row>
        <row r="1039">
          <cell r="D1039">
            <v>55103</v>
          </cell>
          <cell r="Q1039">
            <v>18</v>
          </cell>
          <cell r="R1039">
            <v>0</v>
          </cell>
        </row>
        <row r="1040">
          <cell r="D1040">
            <v>55104</v>
          </cell>
          <cell r="Q1040">
            <v>0</v>
          </cell>
          <cell r="R1040">
            <v>0</v>
          </cell>
        </row>
        <row r="1041">
          <cell r="D1041">
            <v>55105</v>
          </cell>
          <cell r="Q1041">
            <v>63.462499999999999</v>
          </cell>
          <cell r="R1041">
            <v>0</v>
          </cell>
        </row>
        <row r="1042">
          <cell r="D1042">
            <v>55106</v>
          </cell>
          <cell r="Q1042">
            <v>0</v>
          </cell>
          <cell r="R1042">
            <v>364.96133279999998</v>
          </cell>
        </row>
        <row r="1043">
          <cell r="R1043">
            <v>0</v>
          </cell>
        </row>
        <row r="1044">
          <cell r="R1044">
            <v>0</v>
          </cell>
        </row>
        <row r="1045">
          <cell r="Q1045">
            <v>5.526269396</v>
          </cell>
        </row>
        <row r="1046">
          <cell r="R1046">
            <v>-8488.3401748070009</v>
          </cell>
        </row>
        <row r="1047">
          <cell r="R1047">
            <v>265.27238875300003</v>
          </cell>
        </row>
        <row r="1048">
          <cell r="M1048">
            <v>4.0669728000000003</v>
          </cell>
        </row>
        <row r="1049">
          <cell r="G1049">
            <v>-334.28806329999998</v>
          </cell>
        </row>
        <row r="1051">
          <cell r="G1051">
            <v>9.8212269610000007</v>
          </cell>
        </row>
        <row r="1052">
          <cell r="G1052">
            <v>0.4452508</v>
          </cell>
        </row>
        <row r="1053">
          <cell r="G1053">
            <v>0</v>
          </cell>
        </row>
        <row r="1054">
          <cell r="G1054">
            <v>0</v>
          </cell>
        </row>
        <row r="1055">
          <cell r="G1055">
            <v>0</v>
          </cell>
        </row>
        <row r="1056">
          <cell r="G1056">
            <v>0</v>
          </cell>
        </row>
        <row r="1057">
          <cell r="G1057">
            <v>17.502466299999998</v>
          </cell>
        </row>
        <row r="1058">
          <cell r="G1058">
            <v>17.3940473</v>
          </cell>
        </row>
        <row r="1059">
          <cell r="G1059">
            <v>18.350638844999999</v>
          </cell>
        </row>
        <row r="1060">
          <cell r="G1060">
            <v>58.323167092999995</v>
          </cell>
        </row>
        <row r="1061">
          <cell r="G1061">
            <v>23864.699856742998</v>
          </cell>
        </row>
        <row r="1062">
          <cell r="G1062">
            <v>0</v>
          </cell>
        </row>
        <row r="1063">
          <cell r="G1063">
            <v>4782.3322485070003</v>
          </cell>
        </row>
        <row r="1064">
          <cell r="D1064">
            <v>61413</v>
          </cell>
          <cell r="E1064" t="str">
            <v>Compensation</v>
          </cell>
          <cell r="G1064">
            <v>117.7187655</v>
          </cell>
        </row>
        <row r="1065">
          <cell r="G1065">
            <v>1.2050905999999999</v>
          </cell>
        </row>
        <row r="1066">
          <cell r="G1066">
            <v>3949.250313</v>
          </cell>
        </row>
        <row r="1067">
          <cell r="G1067">
            <v>0</v>
          </cell>
        </row>
        <row r="1069">
          <cell r="G1069">
            <v>0.13278218</v>
          </cell>
        </row>
        <row r="1070">
          <cell r="G1070">
            <v>7.5832E-3</v>
          </cell>
        </row>
        <row r="1071">
          <cell r="G1071">
            <v>8.7501999999999996E-3</v>
          </cell>
        </row>
        <row r="1072">
          <cell r="G1072">
            <v>8.7209275000000003E-2</v>
          </cell>
        </row>
        <row r="1073">
          <cell r="G1073">
            <v>7.99092E-2</v>
          </cell>
        </row>
        <row r="1074">
          <cell r="G1074">
            <v>0</v>
          </cell>
        </row>
        <row r="1075">
          <cell r="G1075">
            <v>0</v>
          </cell>
        </row>
        <row r="1076">
          <cell r="G1076">
            <v>0</v>
          </cell>
        </row>
        <row r="1077">
          <cell r="G1077">
            <v>0.70306400000000002</v>
          </cell>
        </row>
        <row r="1078">
          <cell r="G1078">
            <v>0</v>
          </cell>
        </row>
        <row r="1079">
          <cell r="G1079">
            <v>-2.64E-2</v>
          </cell>
        </row>
        <row r="1080">
          <cell r="G1080">
            <v>31.438449506999998</v>
          </cell>
        </row>
        <row r="1081">
          <cell r="G1081">
            <v>0</v>
          </cell>
        </row>
        <row r="1082">
          <cell r="G1082">
            <v>0</v>
          </cell>
        </row>
        <row r="1083">
          <cell r="G1083">
            <v>0</v>
          </cell>
        </row>
        <row r="1084">
          <cell r="G1084">
            <v>0</v>
          </cell>
        </row>
        <row r="1085">
          <cell r="G1085">
            <v>117.87754211099998</v>
          </cell>
        </row>
        <row r="1086">
          <cell r="G1086">
            <v>116.40306378199999</v>
          </cell>
        </row>
        <row r="1087">
          <cell r="G1087">
            <v>1.7378288909999999</v>
          </cell>
        </row>
        <row r="1088">
          <cell r="G1088">
            <v>0.145265058</v>
          </cell>
        </row>
        <row r="1089">
          <cell r="G1089">
            <v>2.5097984979999999</v>
          </cell>
        </row>
        <row r="1090">
          <cell r="G1090">
            <v>86.248659975999999</v>
          </cell>
        </row>
        <row r="1091">
          <cell r="G1091">
            <v>5.0000000000000001E-3</v>
          </cell>
        </row>
        <row r="1092">
          <cell r="G1092">
            <v>3.2746448530000003</v>
          </cell>
        </row>
        <row r="1093">
          <cell r="G1093">
            <v>4.1689395000000004E-2</v>
          </cell>
        </row>
        <row r="1094">
          <cell r="G1094">
            <v>0</v>
          </cell>
        </row>
        <row r="1095">
          <cell r="G1095">
            <v>4.7282187799999997</v>
          </cell>
        </row>
        <row r="1096">
          <cell r="G1096">
            <v>3.4224999999999998E-2</v>
          </cell>
        </row>
        <row r="1097">
          <cell r="G1097">
            <v>0</v>
          </cell>
        </row>
        <row r="1098">
          <cell r="G1098">
            <v>0</v>
          </cell>
        </row>
        <row r="1099">
          <cell r="G1099">
            <v>3.2100675820000002</v>
          </cell>
        </row>
        <row r="1100">
          <cell r="G1100">
            <v>105.71124258200001</v>
          </cell>
        </row>
        <row r="1101">
          <cell r="G1101">
            <v>0</v>
          </cell>
        </row>
        <row r="1102">
          <cell r="G1102">
            <v>0</v>
          </cell>
        </row>
        <row r="1103">
          <cell r="G1103">
            <v>0</v>
          </cell>
        </row>
        <row r="1104">
          <cell r="G1104">
            <v>0</v>
          </cell>
        </row>
        <row r="1105">
          <cell r="G1105">
            <v>0</v>
          </cell>
        </row>
        <row r="1106">
          <cell r="G1106">
            <v>0</v>
          </cell>
        </row>
        <row r="1107">
          <cell r="G1107">
            <v>0</v>
          </cell>
        </row>
        <row r="1108">
          <cell r="G1108">
            <v>0</v>
          </cell>
        </row>
        <row r="1116">
          <cell r="G1116">
            <v>10967.582866089999</v>
          </cell>
        </row>
        <row r="1117">
          <cell r="G1117">
            <v>4156.1774659180001</v>
          </cell>
        </row>
        <row r="1118">
          <cell r="G1118">
            <v>5162.8791158439999</v>
          </cell>
        </row>
        <row r="1119">
          <cell r="G1119">
            <v>652.89816069400001</v>
          </cell>
        </row>
        <row r="1120">
          <cell r="G1120">
            <v>119.78515396900001</v>
          </cell>
        </row>
        <row r="1121">
          <cell r="G1121">
            <v>49.747377733</v>
          </cell>
        </row>
        <row r="1122">
          <cell r="G1122">
            <v>945.23648727700004</v>
          </cell>
        </row>
        <row r="1123">
          <cell r="G1123">
            <v>0.51784466200000001</v>
          </cell>
        </row>
        <row r="1124">
          <cell r="G1124">
            <v>3.650187125</v>
          </cell>
        </row>
        <row r="1125">
          <cell r="G1125">
            <v>818.979111042</v>
          </cell>
        </row>
        <row r="1126">
          <cell r="G1126">
            <v>55.004993333000002</v>
          </cell>
        </row>
        <row r="1127">
          <cell r="G1127">
            <v>8.9883372000000003E-2</v>
          </cell>
        </row>
        <row r="1128">
          <cell r="G1128">
            <v>0</v>
          </cell>
        </row>
        <row r="1129">
          <cell r="G1129">
            <v>1.244713602</v>
          </cell>
        </row>
        <row r="1130">
          <cell r="G1130">
            <v>2.07395218</v>
          </cell>
        </row>
        <row r="1131">
          <cell r="G1131">
            <v>0.38544288199999999</v>
          </cell>
        </row>
        <row r="1132">
          <cell r="G1132">
            <v>197.67955879100001</v>
          </cell>
        </row>
        <row r="1133">
          <cell r="G1133">
            <v>0</v>
          </cell>
        </row>
        <row r="1134">
          <cell r="G1134">
            <v>0.24358579999999999</v>
          </cell>
        </row>
        <row r="1135">
          <cell r="G1135">
            <v>1.4205167999999999E-2</v>
          </cell>
        </row>
        <row r="1137">
          <cell r="G1137">
            <v>20.094398305999999</v>
          </cell>
        </row>
        <row r="1138">
          <cell r="G1138">
            <v>211.03443160200001</v>
          </cell>
        </row>
        <row r="1139">
          <cell r="G1139">
            <v>278.2720339</v>
          </cell>
        </row>
        <row r="1140">
          <cell r="G1140">
            <v>20.148318773</v>
          </cell>
        </row>
        <row r="1141">
          <cell r="G1141">
            <v>0</v>
          </cell>
        </row>
        <row r="1143">
          <cell r="G1143">
            <v>144.06102144300002</v>
          </cell>
        </row>
        <row r="1144">
          <cell r="G1144">
            <v>105.67412043</v>
          </cell>
        </row>
        <row r="1145">
          <cell r="G1145">
            <v>70.723579380999993</v>
          </cell>
        </row>
        <row r="1146">
          <cell r="G1146">
            <v>29.496597624</v>
          </cell>
        </row>
        <row r="1147">
          <cell r="D1147">
            <v>71601</v>
          </cell>
          <cell r="E1147" t="str">
            <v>Consumption Lubricants &amp; consumables-Fi</v>
          </cell>
          <cell r="G1147">
            <v>0</v>
          </cell>
        </row>
        <row r="1148">
          <cell r="G1148">
            <v>82.875600000000006</v>
          </cell>
        </row>
        <row r="1149">
          <cell r="G1149">
            <v>0</v>
          </cell>
        </row>
        <row r="1150">
          <cell r="G1150">
            <v>-5.774400902</v>
          </cell>
        </row>
        <row r="1151">
          <cell r="G1151">
            <v>0</v>
          </cell>
        </row>
        <row r="1152">
          <cell r="G1152">
            <v>-0.22091413700000001</v>
          </cell>
        </row>
        <row r="1153">
          <cell r="G1153">
            <v>-0.46695213200000002</v>
          </cell>
        </row>
        <row r="1156">
          <cell r="G1156">
            <v>1.2520435999999999E-2</v>
          </cell>
        </row>
        <row r="1159">
          <cell r="G1159">
            <v>0</v>
          </cell>
        </row>
        <row r="1160">
          <cell r="G1160">
            <v>6.7875669370000002</v>
          </cell>
        </row>
        <row r="1161">
          <cell r="G1161">
            <v>0.42949159999999997</v>
          </cell>
        </row>
        <row r="1162">
          <cell r="G1162">
            <v>1004.631824393</v>
          </cell>
        </row>
        <row r="1163">
          <cell r="G1163">
            <v>2.9991495E-2</v>
          </cell>
        </row>
        <row r="1164">
          <cell r="G1164">
            <v>0</v>
          </cell>
        </row>
        <row r="1165">
          <cell r="G1165">
            <v>0.37199351600000002</v>
          </cell>
        </row>
        <row r="1166">
          <cell r="G1166">
            <v>5.5999999999999995E-4</v>
          </cell>
        </row>
        <row r="1167">
          <cell r="G1167">
            <v>510.52484705900002</v>
          </cell>
        </row>
        <row r="1168">
          <cell r="G1168">
            <v>5.164699036</v>
          </cell>
        </row>
        <row r="1169">
          <cell r="G1169">
            <v>0</v>
          </cell>
        </row>
        <row r="1170">
          <cell r="G1170">
            <v>0.39450940000000001</v>
          </cell>
        </row>
        <row r="1172">
          <cell r="G1172">
            <v>3.0620893809999998</v>
          </cell>
        </row>
        <row r="1173">
          <cell r="G1173">
            <v>713.17355818599992</v>
          </cell>
        </row>
        <row r="1174">
          <cell r="G1174">
            <v>0</v>
          </cell>
        </row>
        <row r="1175">
          <cell r="G1175">
            <v>44.435828299999997</v>
          </cell>
        </row>
        <row r="1176">
          <cell r="G1176">
            <v>130.66704280799999</v>
          </cell>
        </row>
        <row r="1177">
          <cell r="G1177">
            <v>269.04486934699997</v>
          </cell>
        </row>
        <row r="1178">
          <cell r="G1178">
            <v>83.213969134999999</v>
          </cell>
        </row>
        <row r="1179">
          <cell r="G1179">
            <v>5.2281999999999997E-3</v>
          </cell>
        </row>
        <row r="1180">
          <cell r="G1180">
            <v>2.1117808999999998</v>
          </cell>
        </row>
        <row r="1181">
          <cell r="G1181">
            <v>0.16690042399999999</v>
          </cell>
        </row>
        <row r="1182">
          <cell r="G1182">
            <v>0.8156504</v>
          </cell>
        </row>
        <row r="1183">
          <cell r="G1183">
            <v>7.2638167999999999</v>
          </cell>
        </row>
        <row r="1184">
          <cell r="G1184">
            <v>0.47499999999999998</v>
          </cell>
        </row>
        <row r="1185">
          <cell r="G1185">
            <v>16.267168049999999</v>
          </cell>
        </row>
        <row r="1186">
          <cell r="G1186">
            <v>5.9268899999999999E-2</v>
          </cell>
        </row>
        <row r="1187">
          <cell r="G1187">
            <v>0.6</v>
          </cell>
        </row>
        <row r="1188">
          <cell r="G1188">
            <v>3.8314761929999999</v>
          </cell>
        </row>
        <row r="1189">
          <cell r="G1189">
            <v>1.4473762999999999</v>
          </cell>
        </row>
        <row r="1190">
          <cell r="G1190">
            <v>57.8728677</v>
          </cell>
        </row>
        <row r="1191">
          <cell r="G1191">
            <v>1.5085196539999999</v>
          </cell>
        </row>
        <row r="1192">
          <cell r="G1192">
            <v>0.32806220000000003</v>
          </cell>
        </row>
        <row r="1193">
          <cell r="G1193">
            <v>1.3556E-3</v>
          </cell>
        </row>
        <row r="1194">
          <cell r="G1194">
            <v>1.4341360999999999</v>
          </cell>
        </row>
        <row r="1195">
          <cell r="G1195">
            <v>23.507481853999998</v>
          </cell>
        </row>
        <row r="1196">
          <cell r="G1196">
            <v>0.27944999999999998</v>
          </cell>
        </row>
        <row r="1197">
          <cell r="G1197">
            <v>7.4121303999999997</v>
          </cell>
        </row>
        <row r="1198">
          <cell r="G1198">
            <v>9.7229099999999999E-2</v>
          </cell>
        </row>
        <row r="1199">
          <cell r="G1199">
            <v>0</v>
          </cell>
        </row>
        <row r="1200">
          <cell r="G1200">
            <v>0.13240306200000002</v>
          </cell>
        </row>
        <row r="1201">
          <cell r="G1201">
            <v>23.855796291000001</v>
          </cell>
        </row>
        <row r="1202">
          <cell r="G1202">
            <v>5.1360800999999998E-2</v>
          </cell>
        </row>
        <row r="1203">
          <cell r="G1203">
            <v>3.9411611200000003</v>
          </cell>
        </row>
        <row r="1204">
          <cell r="G1204">
            <v>25.454395049999999</v>
          </cell>
        </row>
        <row r="1205">
          <cell r="G1205">
            <v>0.87634999999999996</v>
          </cell>
        </row>
        <row r="1206">
          <cell r="G1206">
            <v>0.48715649999999999</v>
          </cell>
        </row>
        <row r="1207">
          <cell r="G1207">
            <v>123.9564458</v>
          </cell>
        </row>
        <row r="1208">
          <cell r="G1208">
            <v>0</v>
          </cell>
        </row>
        <row r="1209">
          <cell r="G1209">
            <v>0</v>
          </cell>
        </row>
        <row r="1210">
          <cell r="G1210">
            <v>2.0604421660000001</v>
          </cell>
        </row>
        <row r="1211">
          <cell r="G1211">
            <v>100.75752466499999</v>
          </cell>
        </row>
        <row r="1212">
          <cell r="G1212">
            <v>1.8919207</v>
          </cell>
        </row>
        <row r="1213">
          <cell r="G1213">
            <v>4.3572000000000003E-3</v>
          </cell>
        </row>
        <row r="1214">
          <cell r="G1214">
            <v>73.282537300000001</v>
          </cell>
        </row>
        <row r="1215">
          <cell r="G1215">
            <v>1.6931202679999999</v>
          </cell>
        </row>
        <row r="1216">
          <cell r="G1216">
            <v>52.151190462000002</v>
          </cell>
        </row>
        <row r="1217">
          <cell r="G1217">
            <v>26.906871981000002</v>
          </cell>
        </row>
        <row r="1218">
          <cell r="G1218">
            <v>-2.7416499999999999E-4</v>
          </cell>
        </row>
        <row r="1219">
          <cell r="G1219">
            <v>2.3177989700000001</v>
          </cell>
        </row>
        <row r="1220">
          <cell r="G1220">
            <v>0.13053919999999999</v>
          </cell>
        </row>
        <row r="1221">
          <cell r="G1221">
            <v>1.9680866399999999</v>
          </cell>
        </row>
        <row r="1222">
          <cell r="G1222">
            <v>0.77844440000000004</v>
          </cell>
        </row>
        <row r="1223">
          <cell r="G1223">
            <v>23.880643302000003</v>
          </cell>
        </row>
        <row r="1224">
          <cell r="G1224">
            <v>12.59657666</v>
          </cell>
        </row>
        <row r="1225">
          <cell r="G1225">
            <v>6.8999999999999999E-3</v>
          </cell>
        </row>
        <row r="1226">
          <cell r="G1226">
            <v>7.0853299999999994E-2</v>
          </cell>
        </row>
        <row r="1227">
          <cell r="G1227">
            <v>0.14938319999999999</v>
          </cell>
        </row>
        <row r="1228">
          <cell r="G1228">
            <v>8.6365570999999992</v>
          </cell>
        </row>
        <row r="1229">
          <cell r="G1229">
            <v>1.600109869</v>
          </cell>
        </row>
        <row r="1230">
          <cell r="G1230">
            <v>9.8873600000000006E-2</v>
          </cell>
        </row>
        <row r="1231">
          <cell r="G1231">
            <v>35.735643924000001</v>
          </cell>
        </row>
        <row r="1232">
          <cell r="G1232">
            <v>0</v>
          </cell>
        </row>
        <row r="1233">
          <cell r="G1233">
            <v>6.7680251360000003</v>
          </cell>
        </row>
        <row r="1234">
          <cell r="G1234">
            <v>8.9861800000000006E-2</v>
          </cell>
        </row>
        <row r="1235">
          <cell r="G1235">
            <v>4.3472671529999998</v>
          </cell>
        </row>
        <row r="1236">
          <cell r="G1236">
            <v>1.9191988059999998</v>
          </cell>
        </row>
        <row r="1237">
          <cell r="G1237">
            <v>0.864329876</v>
          </cell>
        </row>
        <row r="1238">
          <cell r="G1238">
            <v>10.289067153</v>
          </cell>
        </row>
        <row r="1239">
          <cell r="G1239">
            <v>0.17906525300000001</v>
          </cell>
        </row>
        <row r="1240">
          <cell r="G1240">
            <v>2.9579999999999998E-4</v>
          </cell>
        </row>
        <row r="1241">
          <cell r="G1241">
            <v>2.1568145800000003</v>
          </cell>
        </row>
        <row r="1242">
          <cell r="G1242">
            <v>0</v>
          </cell>
        </row>
        <row r="1243">
          <cell r="G1243">
            <v>0.84438601899999999</v>
          </cell>
        </row>
        <row r="1244">
          <cell r="G1244">
            <v>74.362762492000002</v>
          </cell>
        </row>
        <row r="1245">
          <cell r="G1245">
            <v>0.32574509200000001</v>
          </cell>
        </row>
        <row r="1246">
          <cell r="G1246">
            <v>9.6000000000000002E-5</v>
          </cell>
        </row>
        <row r="1247">
          <cell r="G1247">
            <v>5.770841968</v>
          </cell>
        </row>
        <row r="1248">
          <cell r="G1248">
            <v>142.994912196</v>
          </cell>
        </row>
        <row r="1249">
          <cell r="G1249">
            <v>0.15751580400000001</v>
          </cell>
        </row>
        <row r="1250">
          <cell r="G1250">
            <v>1E-4</v>
          </cell>
        </row>
        <row r="1251">
          <cell r="G1251">
            <v>1.7676867999999998E-2</v>
          </cell>
        </row>
        <row r="1252">
          <cell r="G1252">
            <v>13.457875</v>
          </cell>
        </row>
        <row r="1253">
          <cell r="G1253">
            <v>8.3846830000000011E-2</v>
          </cell>
        </row>
        <row r="1254">
          <cell r="G1254">
            <v>1.1394E-3</v>
          </cell>
        </row>
        <row r="1255">
          <cell r="G1255">
            <v>7.4666289999999996E-2</v>
          </cell>
        </row>
        <row r="1256">
          <cell r="G1256">
            <v>1.7034999999999999E-3</v>
          </cell>
        </row>
        <row r="1257">
          <cell r="G1257">
            <v>7.9380428319999989</v>
          </cell>
        </row>
        <row r="1258">
          <cell r="G1258">
            <v>5.9936131999999996E-2</v>
          </cell>
        </row>
        <row r="1259">
          <cell r="G1259">
            <v>0.16468705</v>
          </cell>
        </row>
        <row r="1260">
          <cell r="G1260">
            <v>5.3791538719999998</v>
          </cell>
        </row>
        <row r="1261">
          <cell r="G1261">
            <v>0</v>
          </cell>
        </row>
        <row r="1262">
          <cell r="G1262">
            <v>4.2543571</v>
          </cell>
        </row>
        <row r="1263">
          <cell r="G1263">
            <v>36.6522316</v>
          </cell>
        </row>
        <row r="1264">
          <cell r="G1264">
            <v>30.064805493000001</v>
          </cell>
        </row>
        <row r="1265">
          <cell r="G1265">
            <v>140.86410847900001</v>
          </cell>
        </row>
        <row r="1266">
          <cell r="G1266">
            <v>38.984386724000004</v>
          </cell>
        </row>
        <row r="1267">
          <cell r="G1267">
            <v>45.486765513999998</v>
          </cell>
        </row>
        <row r="1268">
          <cell r="G1268">
            <v>2246.0957598569998</v>
          </cell>
        </row>
        <row r="1269">
          <cell r="G1269">
            <v>0</v>
          </cell>
        </row>
        <row r="1270">
          <cell r="G1270">
            <v>26.877271499999999</v>
          </cell>
        </row>
        <row r="1271">
          <cell r="G1271">
            <v>4.67155627</v>
          </cell>
        </row>
        <row r="1272">
          <cell r="G1272">
            <v>1.536765613</v>
          </cell>
        </row>
        <row r="1273">
          <cell r="G1273">
            <v>0</v>
          </cell>
        </row>
        <row r="1274">
          <cell r="G1274">
            <v>2.5508960119999999</v>
          </cell>
        </row>
        <row r="1275">
          <cell r="G1275">
            <v>7.0349580230000006</v>
          </cell>
        </row>
        <row r="1276">
          <cell r="G1276">
            <v>3.7538632000000001</v>
          </cell>
        </row>
        <row r="1277">
          <cell r="G1277">
            <v>1.7251508879999999</v>
          </cell>
        </row>
        <row r="1278">
          <cell r="D1278">
            <v>77962</v>
          </cell>
          <cell r="E1278" t="str">
            <v>Amort. for Right to Use Assets</v>
          </cell>
          <cell r="G1278">
            <v>253.82251429999999</v>
          </cell>
        </row>
        <row r="1279">
          <cell r="G1279">
            <v>1644.754275</v>
          </cell>
        </row>
        <row r="1280">
          <cell r="G1280">
            <v>0</v>
          </cell>
        </row>
        <row r="1281">
          <cell r="G1281">
            <v>0</v>
          </cell>
        </row>
        <row r="1282">
          <cell r="G1282">
            <v>-222.37967269999999</v>
          </cell>
        </row>
        <row r="1283">
          <cell r="G1283">
            <v>8.2844200000000007E-2</v>
          </cell>
        </row>
        <row r="1284">
          <cell r="G1284">
            <v>5.3544999999999999E-3</v>
          </cell>
        </row>
        <row r="1285">
          <cell r="G1285">
            <v>0.173644416</v>
          </cell>
        </row>
        <row r="1286">
          <cell r="G1286">
            <v>627.01818824500003</v>
          </cell>
        </row>
        <row r="1287">
          <cell r="G1287">
            <v>0</v>
          </cell>
        </row>
        <row r="1288">
          <cell r="G1288">
            <v>1.0060871</v>
          </cell>
        </row>
        <row r="1289">
          <cell r="G1289">
            <v>441.47056129999999</v>
          </cell>
        </row>
        <row r="1290">
          <cell r="G1290">
            <v>406.60696359999997</v>
          </cell>
        </row>
        <row r="1291">
          <cell r="G1291">
            <v>0</v>
          </cell>
        </row>
        <row r="1292">
          <cell r="G1292">
            <v>0.37504346700000002</v>
          </cell>
        </row>
        <row r="1293">
          <cell r="G1293">
            <v>0</v>
          </cell>
        </row>
        <row r="1294">
          <cell r="G1294">
            <v>29.133103999999999</v>
          </cell>
        </row>
        <row r="1295">
          <cell r="G1295">
            <v>0</v>
          </cell>
        </row>
        <row r="1296">
          <cell r="D1296">
            <v>78845</v>
          </cell>
          <cell r="G1296">
            <v>331.19554014899995</v>
          </cell>
        </row>
        <row r="1297">
          <cell r="G1297">
            <v>1.4680500000000001</v>
          </cell>
        </row>
        <row r="1298">
          <cell r="G1298">
            <v>8.4161014339999998</v>
          </cell>
        </row>
        <row r="1299">
          <cell r="G1299">
            <v>1.4262653999999999</v>
          </cell>
        </row>
        <row r="1300">
          <cell r="G1300">
            <v>16.814404875999998</v>
          </cell>
        </row>
        <row r="1301">
          <cell r="G1301">
            <v>1.466586068</v>
          </cell>
        </row>
        <row r="1302">
          <cell r="G1302">
            <v>1.00359E-3</v>
          </cell>
        </row>
        <row r="1303">
          <cell r="G1303">
            <v>-0.86113694800000007</v>
          </cell>
        </row>
        <row r="1304">
          <cell r="G1304">
            <v>4.5835384890000004</v>
          </cell>
        </row>
        <row r="1305">
          <cell r="G1305">
            <v>9.3289635999999995E-2</v>
          </cell>
        </row>
        <row r="1306">
          <cell r="G1306">
            <v>5.0836584000000004E-2</v>
          </cell>
        </row>
        <row r="1308">
          <cell r="G1308">
            <v>10.746824050000001</v>
          </cell>
        </row>
        <row r="1309">
          <cell r="G1309">
            <v>0</v>
          </cell>
        </row>
        <row r="1310">
          <cell r="G1310">
            <v>0</v>
          </cell>
        </row>
        <row r="1311">
          <cell r="G1311">
            <v>0.39</v>
          </cell>
        </row>
        <row r="1312">
          <cell r="G1312">
            <v>-10.117005855</v>
          </cell>
        </row>
        <row r="1313">
          <cell r="G1313">
            <v>5.5115138110000004</v>
          </cell>
        </row>
        <row r="1314">
          <cell r="G1314">
            <v>0</v>
          </cell>
        </row>
        <row r="1315">
          <cell r="D1315">
            <v>79571</v>
          </cell>
          <cell r="E1315" t="str">
            <v>Deviation Settlement Mechanism (DSM) Charges</v>
          </cell>
          <cell r="G1315">
            <v>179.08925009999999</v>
          </cell>
        </row>
        <row r="1317">
          <cell r="G1317">
            <v>0.29646620099999998</v>
          </cell>
        </row>
        <row r="1318">
          <cell r="G1318">
            <v>0</v>
          </cell>
        </row>
        <row r="1319">
          <cell r="G1319">
            <v>0</v>
          </cell>
        </row>
        <row r="1320">
          <cell r="G1320">
            <v>-1.2712022999999999E-2</v>
          </cell>
        </row>
        <row r="1321">
          <cell r="G1321">
            <v>10.342248376999999</v>
          </cell>
        </row>
        <row r="1322">
          <cell r="G1322">
            <v>0</v>
          </cell>
        </row>
        <row r="1323">
          <cell r="G1323">
            <v>0</v>
          </cell>
        </row>
        <row r="1324">
          <cell r="G1324">
            <v>0.51249420000000001</v>
          </cell>
        </row>
        <row r="1325">
          <cell r="G1325">
            <v>0</v>
          </cell>
        </row>
        <row r="1326">
          <cell r="G1326">
            <v>0</v>
          </cell>
        </row>
        <row r="1327">
          <cell r="G1327">
            <v>0</v>
          </cell>
        </row>
        <row r="1328">
          <cell r="G1328">
            <v>0</v>
          </cell>
        </row>
        <row r="1329">
          <cell r="G1329">
            <v>0</v>
          </cell>
        </row>
        <row r="1330">
          <cell r="G1330">
            <v>0</v>
          </cell>
        </row>
        <row r="1331">
          <cell r="G1331">
            <v>0</v>
          </cell>
        </row>
        <row r="1332">
          <cell r="G1332">
            <v>0</v>
          </cell>
        </row>
        <row r="1333">
          <cell r="G1333">
            <v>0</v>
          </cell>
        </row>
        <row r="1334">
          <cell r="G1334">
            <v>0</v>
          </cell>
        </row>
        <row r="1335">
          <cell r="G1335">
            <v>0</v>
          </cell>
        </row>
        <row r="1336">
          <cell r="G1336">
            <v>0</v>
          </cell>
        </row>
        <row r="1337">
          <cell r="G1337">
            <v>0</v>
          </cell>
        </row>
        <row r="1338">
          <cell r="G1338">
            <v>0</v>
          </cell>
        </row>
        <row r="1339">
          <cell r="G1339">
            <v>0</v>
          </cell>
        </row>
        <row r="1340">
          <cell r="G1340">
            <v>0</v>
          </cell>
        </row>
        <row r="1341">
          <cell r="G1341">
            <v>0</v>
          </cell>
        </row>
        <row r="1342">
          <cell r="G1342">
            <v>0</v>
          </cell>
        </row>
        <row r="1343">
          <cell r="G1343">
            <v>0</v>
          </cell>
        </row>
        <row r="1344">
          <cell r="G1344">
            <v>0</v>
          </cell>
        </row>
        <row r="1345">
          <cell r="G1345">
            <v>0</v>
          </cell>
        </row>
        <row r="1346">
          <cell r="G1346">
            <v>0</v>
          </cell>
        </row>
        <row r="1348">
          <cell r="G1348">
            <v>990.05850601299994</v>
          </cell>
        </row>
        <row r="1349">
          <cell r="R1349">
            <v>323.902233663</v>
          </cell>
        </row>
        <row r="1350">
          <cell r="L1350">
            <v>418.377960707</v>
          </cell>
        </row>
        <row r="1351">
          <cell r="Q1351">
            <v>110.951158273</v>
          </cell>
        </row>
        <row r="1352">
          <cell r="L1352">
            <v>0.48509429999999998</v>
          </cell>
        </row>
        <row r="1353">
          <cell r="Q1353">
            <v>1.447476406</v>
          </cell>
        </row>
        <row r="1354">
          <cell r="Q1354">
            <v>151.86845547300001</v>
          </cell>
        </row>
        <row r="1355">
          <cell r="Q1355">
            <v>41.295333849000002</v>
          </cell>
          <cell r="R1355">
            <v>0</v>
          </cell>
        </row>
        <row r="1356">
          <cell r="Q1356">
            <v>125.857694876</v>
          </cell>
        </row>
        <row r="1357">
          <cell r="Q1357">
            <v>96.241333319000006</v>
          </cell>
        </row>
        <row r="1359">
          <cell r="Q1359">
            <v>233.37045157199998</v>
          </cell>
          <cell r="R1359">
            <v>63.681047399999997</v>
          </cell>
        </row>
        <row r="1360">
          <cell r="Q1360">
            <v>340.31573600000002</v>
          </cell>
          <cell r="R1360">
            <v>93.521071399999997</v>
          </cell>
        </row>
        <row r="1361">
          <cell r="Q1361">
            <v>1045.728178761</v>
          </cell>
          <cell r="R1361">
            <v>132.26029053900001</v>
          </cell>
        </row>
        <row r="1363">
          <cell r="Q1363">
            <v>1.7094788999999999</v>
          </cell>
          <cell r="R1363">
            <v>0</v>
          </cell>
        </row>
        <row r="1364">
          <cell r="Q1364">
            <v>0.84401474399999998</v>
          </cell>
        </row>
        <row r="1365">
          <cell r="Q1365">
            <v>166.13424910099999</v>
          </cell>
        </row>
        <row r="1366">
          <cell r="Q1366">
            <v>0</v>
          </cell>
        </row>
        <row r="1367">
          <cell r="Q1367">
            <v>0</v>
          </cell>
        </row>
        <row r="1368">
          <cell r="Q1368">
            <v>0</v>
          </cell>
        </row>
        <row r="1369">
          <cell r="Q1369">
            <v>25980.932014684</v>
          </cell>
          <cell r="R1369">
            <v>0</v>
          </cell>
        </row>
        <row r="1370">
          <cell r="Q1370">
            <v>38.543622323999998</v>
          </cell>
        </row>
        <row r="1372">
          <cell r="Q1372">
            <v>0.83611440000000004</v>
          </cell>
        </row>
        <row r="1373">
          <cell r="Q1373">
            <v>-20.432856769999997</v>
          </cell>
        </row>
        <row r="1374">
          <cell r="Q1374">
            <v>22.367998536000002</v>
          </cell>
        </row>
        <row r="1377">
          <cell r="Q1377">
            <v>2256.725031815</v>
          </cell>
        </row>
        <row r="1378">
          <cell r="Q1378">
            <v>16.748457690000002</v>
          </cell>
        </row>
        <row r="1379">
          <cell r="Q1379">
            <v>796.755554437</v>
          </cell>
        </row>
        <row r="1380">
          <cell r="Q1380">
            <v>42.831257956000002</v>
          </cell>
        </row>
        <row r="1381">
          <cell r="Q1381">
            <v>0</v>
          </cell>
        </row>
        <row r="1382">
          <cell r="Q1382">
            <v>0</v>
          </cell>
        </row>
        <row r="1383">
          <cell r="Q1383">
            <v>36.204285900000002</v>
          </cell>
        </row>
        <row r="1384">
          <cell r="Q1384">
            <v>0</v>
          </cell>
        </row>
        <row r="1385">
          <cell r="Q1385">
            <v>0</v>
          </cell>
        </row>
        <row r="1386">
          <cell r="Q1386">
            <v>0</v>
          </cell>
        </row>
        <row r="1387">
          <cell r="Q1387">
            <v>1279.8970463180001</v>
          </cell>
        </row>
        <row r="1388">
          <cell r="Q1388">
            <v>5.7147700319999997</v>
          </cell>
        </row>
        <row r="1389">
          <cell r="Q1389">
            <v>0</v>
          </cell>
        </row>
        <row r="1390">
          <cell r="Q1390">
            <v>4.5589999999999997E-3</v>
          </cell>
        </row>
        <row r="1393">
          <cell r="Q1393">
            <v>4235.879161156</v>
          </cell>
        </row>
        <row r="1394">
          <cell r="Q1394">
            <v>1.5216538119999998</v>
          </cell>
        </row>
        <row r="1396">
          <cell r="Q1396">
            <v>109.202121408</v>
          </cell>
        </row>
        <row r="1397">
          <cell r="Q1397">
            <v>70.360702099999997</v>
          </cell>
        </row>
        <row r="1398">
          <cell r="Q1398">
            <v>0.79450841999999999</v>
          </cell>
        </row>
        <row r="1499">
          <cell r="D1499">
            <v>-1.9060308886764687E-12</v>
          </cell>
        </row>
      </sheetData>
      <sheetData sheetId="4">
        <row r="1">
          <cell r="B1" t="str">
            <v>MAHARASHTRA STATE POWER GENERATION COMPANY LIMITED [CIN -U40100MH2005SGC153648]</v>
          </cell>
        </row>
        <row r="3">
          <cell r="D3" t="str">
            <v>31.03.2023</v>
          </cell>
          <cell r="E3" t="str">
            <v>31.03.2022</v>
          </cell>
        </row>
        <row r="4">
          <cell r="B4" t="str">
            <v>ASSETS</v>
          </cell>
        </row>
        <row r="5">
          <cell r="B5" t="str">
            <v>Non-Current Assets</v>
          </cell>
        </row>
        <row r="6">
          <cell r="B6" t="str">
            <v xml:space="preserve">    Property, Plant &amp; Equipment</v>
          </cell>
          <cell r="D6">
            <v>31040.513030772992</v>
          </cell>
          <cell r="E6">
            <v>32774.723769055985</v>
          </cell>
          <cell r="F6">
            <v>34242.365231518997</v>
          </cell>
          <cell r="J6">
            <v>-1734.2107382829927</v>
          </cell>
          <cell r="K6">
            <v>-1467.6414624630124</v>
          </cell>
        </row>
        <row r="7">
          <cell r="B7" t="str">
            <v xml:space="preserve">    Capital work in progress</v>
          </cell>
          <cell r="D7">
            <v>5793.8387559570001</v>
          </cell>
          <cell r="E7">
            <v>4703.5082975660007</v>
          </cell>
          <cell r="J7">
            <v>1090.3304583909994</v>
          </cell>
          <cell r="K7">
            <v>1026.8134448470014</v>
          </cell>
        </row>
        <row r="8">
          <cell r="B8" t="str">
            <v xml:space="preserve">    Right to use assets</v>
          </cell>
          <cell r="D8">
            <v>3419.2373834</v>
          </cell>
          <cell r="E8">
            <v>3673.0598977</v>
          </cell>
          <cell r="J8">
            <v>-253.82251429999997</v>
          </cell>
          <cell r="K8">
            <v>-255.62625589999971</v>
          </cell>
        </row>
        <row r="9">
          <cell r="B9" t="str">
            <v xml:space="preserve">    Intangible assets</v>
          </cell>
          <cell r="D9">
            <v>4.2940700679999964</v>
          </cell>
          <cell r="E9">
            <v>3.1431939830000033</v>
          </cell>
          <cell r="J9">
            <v>1.1508760849999931</v>
          </cell>
          <cell r="K9">
            <v>0.51351481600000426</v>
          </cell>
        </row>
        <row r="10">
          <cell r="B10" t="str">
            <v xml:space="preserve">    Intangible assets under development</v>
          </cell>
          <cell r="D10">
            <v>574.16186102100005</v>
          </cell>
          <cell r="E10">
            <v>378.067937207</v>
          </cell>
          <cell r="J10">
            <v>196.09392381400005</v>
          </cell>
          <cell r="K10">
            <v>138.38564738599999</v>
          </cell>
        </row>
        <row r="11">
          <cell r="B11" t="str">
            <v xml:space="preserve">    Financial Assets</v>
          </cell>
        </row>
        <row r="12">
          <cell r="B12" t="str">
            <v xml:space="preserve">        - Investment in subsidiaries and associates</v>
          </cell>
          <cell r="D12">
            <v>2.3909302000000068</v>
          </cell>
          <cell r="E12">
            <v>2.2916032999999985</v>
          </cell>
          <cell r="J12">
            <v>9.9326900000008322E-2</v>
          </cell>
          <cell r="K12">
            <v>0.18364489999999734</v>
          </cell>
        </row>
        <row r="13">
          <cell r="J13">
            <v>2.1441411999999929</v>
          </cell>
          <cell r="K13">
            <v>31.569200000000009</v>
          </cell>
        </row>
        <row r="15">
          <cell r="J15">
            <v>0</v>
          </cell>
        </row>
        <row r="16">
          <cell r="B16" t="str">
            <v xml:space="preserve">    Other non-current assets</v>
          </cell>
          <cell r="D16">
            <v>621.92883314599806</v>
          </cell>
          <cell r="E16">
            <v>431.95504896200032</v>
          </cell>
          <cell r="J16">
            <v>189.97378418399774</v>
          </cell>
          <cell r="K16">
            <v>-64.246398229399404</v>
          </cell>
        </row>
        <row r="17">
          <cell r="B17" t="str">
            <v xml:space="preserve">   Total Non Current Assets</v>
          </cell>
          <cell r="D17">
            <v>41547.571068564997</v>
          </cell>
          <cell r="E17">
            <v>42055.811810573992</v>
          </cell>
        </row>
        <row r="18">
          <cell r="B18" t="str">
            <v>Current Assets</v>
          </cell>
        </row>
        <row r="19">
          <cell r="B19" t="str">
            <v xml:space="preserve">    Inventories</v>
          </cell>
          <cell r="D19">
            <v>2114.7825896700001</v>
          </cell>
          <cell r="E19">
            <v>1255.7611796319995</v>
          </cell>
          <cell r="J19">
            <v>859.02141003800057</v>
          </cell>
          <cell r="K19">
            <v>325.67579085399962</v>
          </cell>
        </row>
        <row r="20">
          <cell r="B20" t="str">
            <v xml:space="preserve">    Financial Assets</v>
          </cell>
        </row>
        <row r="21">
          <cell r="B21" t="str">
            <v xml:space="preserve">          - Trade receivables  </v>
          </cell>
          <cell r="D21">
            <v>31567.394643867003</v>
          </cell>
          <cell r="E21">
            <v>28457.271091587001</v>
          </cell>
          <cell r="J21">
            <v>3110.1235522800016</v>
          </cell>
          <cell r="K21">
            <v>1232.5460800679975</v>
          </cell>
        </row>
        <row r="22">
          <cell r="B22" t="str">
            <v xml:space="preserve">          - Cash and cash equivalents</v>
          </cell>
          <cell r="D22">
            <v>263.67808044699996</v>
          </cell>
          <cell r="E22">
            <v>11.787264494000002</v>
          </cell>
        </row>
        <row r="23">
          <cell r="B23" t="str">
            <v xml:space="preserve">          - Loans</v>
          </cell>
          <cell r="D23">
            <v>1.781401367</v>
          </cell>
          <cell r="E23">
            <v>5.3623333400000002</v>
          </cell>
          <cell r="J23">
            <v>-3.5809319730000002</v>
          </cell>
          <cell r="K23">
            <v>-0.40933507360000032</v>
          </cell>
        </row>
        <row r="24">
          <cell r="B24" t="str">
            <v xml:space="preserve">          - Other financial assets</v>
          </cell>
          <cell r="D24">
            <v>326.40493493700001</v>
          </cell>
          <cell r="E24">
            <v>325.33570108999999</v>
          </cell>
          <cell r="J24">
            <v>1.0692338470000209</v>
          </cell>
          <cell r="K24">
            <v>-26.917439043999991</v>
          </cell>
        </row>
        <row r="25">
          <cell r="B25" t="str">
            <v xml:space="preserve">    Other current assets</v>
          </cell>
          <cell r="D25">
            <v>905.532191356</v>
          </cell>
          <cell r="E25">
            <v>895.69076327599987</v>
          </cell>
          <cell r="J25">
            <v>9.8414280800001279</v>
          </cell>
          <cell r="K25">
            <v>247.19688686099971</v>
          </cell>
        </row>
        <row r="28">
          <cell r="B28" t="str">
            <v xml:space="preserve">    Assets classified as held for sale / disposal</v>
          </cell>
          <cell r="D28">
            <v>119.54817991200002</v>
          </cell>
          <cell r="E28">
            <v>121.03762497100001</v>
          </cell>
          <cell r="J28">
            <v>-1.4894450589999906</v>
          </cell>
          <cell r="K28">
            <v>-101.56909041299991</v>
          </cell>
        </row>
        <row r="29">
          <cell r="B29" t="str">
            <v xml:space="preserve">  Total Other Assets</v>
          </cell>
          <cell r="D29">
            <v>119.54817991200002</v>
          </cell>
          <cell r="E29">
            <v>121.03762497100001</v>
          </cell>
        </row>
        <row r="30">
          <cell r="B30" t="str">
            <v>TOTAL ASSETS</v>
          </cell>
          <cell r="D30">
            <v>76846.693090121</v>
          </cell>
          <cell r="E30">
            <v>73128.05776896399</v>
          </cell>
        </row>
        <row r="32">
          <cell r="B32" t="str">
            <v>EQUITY AND LIABILITIES</v>
          </cell>
        </row>
        <row r="33">
          <cell r="B33" t="str">
            <v>Equity</v>
          </cell>
        </row>
        <row r="34">
          <cell r="B34" t="str">
            <v xml:space="preserve">    Equity Share capital</v>
          </cell>
          <cell r="D34">
            <v>25918.496225999996</v>
          </cell>
          <cell r="E34">
            <v>25450.446225999996</v>
          </cell>
          <cell r="J34">
            <v>468.04999999999927</v>
          </cell>
          <cell r="K34">
            <v>42.500005026005965</v>
          </cell>
        </row>
        <row r="35">
          <cell r="B35" t="str">
            <v xml:space="preserve">    Other Equity</v>
          </cell>
          <cell r="D35">
            <v>-8942.7472974869852</v>
          </cell>
          <cell r="E35">
            <v>-7755.0177741439893</v>
          </cell>
        </row>
        <row r="38">
          <cell r="B38" t="str">
            <v>Total Equity</v>
          </cell>
          <cell r="D38">
            <v>16975.74892851301</v>
          </cell>
          <cell r="E38">
            <v>17695.428451856009</v>
          </cell>
        </row>
        <row r="39">
          <cell r="B39" t="str">
            <v>Liabilities</v>
          </cell>
        </row>
        <row r="40">
          <cell r="B40" t="str">
            <v>Non Current Liabilities</v>
          </cell>
        </row>
        <row r="41">
          <cell r="B41" t="str">
            <v xml:space="preserve">    Financial liabilities</v>
          </cell>
        </row>
        <row r="42">
          <cell r="B42" t="str">
            <v xml:space="preserve">          - Borrowings</v>
          </cell>
          <cell r="D42">
            <v>24687.339384897426</v>
          </cell>
          <cell r="E42">
            <v>22211.191210778834</v>
          </cell>
          <cell r="J42">
            <v>2476.1481741185926</v>
          </cell>
        </row>
        <row r="43">
          <cell r="J43">
            <v>-143.34015879769595</v>
          </cell>
        </row>
        <row r="44">
          <cell r="B44" t="str">
            <v xml:space="preserve">    Provisions</v>
          </cell>
          <cell r="D44">
            <v>1153.4486072999998</v>
          </cell>
          <cell r="E44">
            <v>1111.5373132</v>
          </cell>
          <cell r="J44">
            <v>41.91129409999985</v>
          </cell>
        </row>
        <row r="45">
          <cell r="B45" t="str">
            <v xml:space="preserve">    Net Deferred tax liabilities</v>
          </cell>
          <cell r="D45">
            <v>334.28806329999998</v>
          </cell>
          <cell r="E45">
            <v>556.66773599999999</v>
          </cell>
          <cell r="J45">
            <v>-222.37967270000001</v>
          </cell>
        </row>
        <row r="46">
          <cell r="B46" t="str">
            <v xml:space="preserve">    Other non-current liabilities</v>
          </cell>
          <cell r="D46">
            <v>654.67374213900007</v>
          </cell>
          <cell r="E46">
            <v>289.46240933900003</v>
          </cell>
          <cell r="J46">
            <v>365.21133280000004</v>
          </cell>
        </row>
        <row r="47">
          <cell r="B47" t="str">
            <v>Total Non Current Liabilities</v>
          </cell>
          <cell r="D47">
            <v>29756.309237562011</v>
          </cell>
          <cell r="E47">
            <v>27238.758268041114</v>
          </cell>
        </row>
        <row r="48">
          <cell r="B48" t="str">
            <v>Current Liabilities</v>
          </cell>
        </row>
        <row r="49">
          <cell r="B49" t="str">
            <v xml:space="preserve">    Financial liabilities</v>
          </cell>
        </row>
        <row r="50">
          <cell r="B50" t="str">
            <v xml:space="preserve">          - Borrowings</v>
          </cell>
          <cell r="D50">
            <v>17272.729860049567</v>
          </cell>
          <cell r="E50">
            <v>17299.429266224168</v>
          </cell>
          <cell r="J50">
            <v>-26.699406174600881</v>
          </cell>
        </row>
        <row r="51">
          <cell r="J51">
            <v>-18.036416253304196</v>
          </cell>
        </row>
        <row r="52">
          <cell r="J52">
            <v>-1.7447733497979998</v>
          </cell>
        </row>
        <row r="53">
          <cell r="B53" t="str">
            <v xml:space="preserve">          - Trade payables - Other than MSME</v>
          </cell>
          <cell r="D53">
            <v>8102.969552442999</v>
          </cell>
          <cell r="E53">
            <v>6651.4754589652011</v>
          </cell>
          <cell r="J53">
            <v>1451.4940934777978</v>
          </cell>
        </row>
        <row r="54">
          <cell r="B54" t="str">
            <v xml:space="preserve">          - Other financial liabilities</v>
          </cell>
          <cell r="D54">
            <v>4173.9457693559998</v>
          </cell>
          <cell r="E54">
            <v>3700.7722904539996</v>
          </cell>
          <cell r="J54">
            <v>473.17347890200017</v>
          </cell>
        </row>
        <row r="55">
          <cell r="B55" t="str">
            <v xml:space="preserve">    Other current liabilities</v>
          </cell>
          <cell r="D55">
            <v>182.35702072499998</v>
          </cell>
          <cell r="E55">
            <v>113.63238639800001</v>
          </cell>
          <cell r="J55">
            <v>68.724634326999976</v>
          </cell>
        </row>
        <row r="56">
          <cell r="B56" t="str">
            <v xml:space="preserve">    Provisions</v>
          </cell>
          <cell r="D56">
            <v>239.07374370900004</v>
          </cell>
          <cell r="E56">
            <v>265.22147626999993</v>
          </cell>
          <cell r="J56">
            <v>-26.147732560999884</v>
          </cell>
        </row>
        <row r="57">
          <cell r="B57" t="str">
            <v>Total Current Liabilities</v>
          </cell>
          <cell r="D57">
            <v>30114.634935918981</v>
          </cell>
          <cell r="E57">
            <v>28193.871057550881</v>
          </cell>
        </row>
        <row r="58">
          <cell r="B58" t="str">
            <v>TOTAL EQUITY AND LIABILITIES</v>
          </cell>
          <cell r="D58">
            <v>76846.693101994009</v>
          </cell>
          <cell r="E58">
            <v>73128.057777448004</v>
          </cell>
        </row>
        <row r="61">
          <cell r="B61" t="str">
            <v>For Shah and Taparia</v>
          </cell>
        </row>
        <row r="62">
          <cell r="B62" t="str">
            <v>Chartered Accountants</v>
          </cell>
        </row>
        <row r="63">
          <cell r="B63" t="str">
            <v>(FRN  - 109463W )</v>
          </cell>
        </row>
        <row r="65">
          <cell r="B65" t="str">
            <v>(CA Bharat Ramesh Joshi)</v>
          </cell>
        </row>
        <row r="66">
          <cell r="B66" t="str">
            <v>Partner (ICAI M No. 130863)</v>
          </cell>
          <cell r="C66" t="str">
            <v>Balasaheb Thite</v>
          </cell>
          <cell r="E66" t="str">
            <v>Dr. P. Anabalgan</v>
          </cell>
        </row>
        <row r="67">
          <cell r="C67" t="str">
            <v>Director (Finance) &amp; CFO</v>
          </cell>
          <cell r="E67" t="str">
            <v>Chairman &amp; Managing Director</v>
          </cell>
        </row>
        <row r="68">
          <cell r="B68" t="str">
            <v>For Ummed Jain &amp; Co.</v>
          </cell>
          <cell r="C68" t="str">
            <v xml:space="preserve"> DIN No.08923676</v>
          </cell>
          <cell r="E68" t="str">
            <v>DIN No. 05117747</v>
          </cell>
        </row>
        <row r="69">
          <cell r="B69" t="str">
            <v>Chartered Accountants</v>
          </cell>
        </row>
        <row r="70">
          <cell r="B70" t="str">
            <v>(FRN  -119250W)</v>
          </cell>
        </row>
        <row r="72">
          <cell r="B72" t="str">
            <v>(CA Ritu Sanghi )</v>
          </cell>
          <cell r="C72" t="str">
            <v>Vijay Chitlange</v>
          </cell>
          <cell r="E72" t="str">
            <v>Rahul Dubey</v>
          </cell>
        </row>
        <row r="73">
          <cell r="B73" t="str">
            <v>Partner (ICAI M No. 425542 )</v>
          </cell>
          <cell r="C73" t="str">
            <v>Chief General Manager (A/c)</v>
          </cell>
          <cell r="E73" t="str">
            <v>Company Secretary</v>
          </cell>
        </row>
        <row r="74">
          <cell r="E74" t="str">
            <v>M No. A14213</v>
          </cell>
        </row>
        <row r="78">
          <cell r="D78" t="str">
            <v>2022-23</v>
          </cell>
          <cell r="E78" t="str">
            <v>2021-22</v>
          </cell>
        </row>
        <row r="88">
          <cell r="D88">
            <v>3493.1497996790008</v>
          </cell>
          <cell r="E88">
            <v>3523.5377632460004</v>
          </cell>
        </row>
        <row r="89">
          <cell r="D89">
            <v>2842.8386249599998</v>
          </cell>
          <cell r="E89">
            <v>2788.0829005650003</v>
          </cell>
        </row>
        <row r="102">
          <cell r="D102">
            <v>-796.03891433351282</v>
          </cell>
          <cell r="E102">
            <v>-1644.3397412090421</v>
          </cell>
        </row>
        <row r="107">
          <cell r="D107">
            <v>-14.781612403487998</v>
          </cell>
          <cell r="E107">
            <v>-38.54443138896</v>
          </cell>
        </row>
        <row r="108">
          <cell r="D108">
            <v>-810.82052673700082</v>
          </cell>
          <cell r="E108">
            <v>-1682.8841725980021</v>
          </cell>
        </row>
        <row r="199">
          <cell r="D199">
            <v>-385.94918471199998</v>
          </cell>
          <cell r="E199">
            <v>-402.23597693099998</v>
          </cell>
          <cell r="F199">
            <v>-456.68006257600001</v>
          </cell>
        </row>
        <row r="213">
          <cell r="D213">
            <v>263.66342570199998</v>
          </cell>
          <cell r="E213">
            <v>11.769918049000003</v>
          </cell>
        </row>
        <row r="214">
          <cell r="D214">
            <v>0</v>
          </cell>
          <cell r="E214">
            <v>0</v>
          </cell>
        </row>
        <row r="215">
          <cell r="D215">
            <v>1.4654745E-2</v>
          </cell>
          <cell r="E215">
            <v>1.7346445000000002E-2</v>
          </cell>
        </row>
        <row r="251">
          <cell r="D251">
            <v>91.14101530401723</v>
          </cell>
          <cell r="E251">
            <v>468.05001187801292</v>
          </cell>
          <cell r="F251">
            <v>42.500008452008927</v>
          </cell>
        </row>
        <row r="255">
          <cell r="D255">
            <v>-8942.7472974869852</v>
          </cell>
          <cell r="E255">
            <v>-7755.0177741439893</v>
          </cell>
          <cell r="F255">
            <v>-6497.6836046944718</v>
          </cell>
        </row>
        <row r="266">
          <cell r="D266">
            <v>156.4779509</v>
          </cell>
          <cell r="E266">
            <v>165.56232129999998</v>
          </cell>
        </row>
        <row r="268">
          <cell r="D268">
            <v>4.0669728000000003</v>
          </cell>
          <cell r="E268">
            <v>0</v>
          </cell>
        </row>
        <row r="269">
          <cell r="D269">
            <v>24687.339384897426</v>
          </cell>
        </row>
        <row r="296">
          <cell r="D296">
            <v>3008.6983286605678</v>
          </cell>
          <cell r="E296">
            <v>3586.7015421791675</v>
          </cell>
        </row>
        <row r="302">
          <cell r="D302">
            <v>17272.729860049567</v>
          </cell>
        </row>
        <row r="344">
          <cell r="B344" t="str">
            <v>Notes to the Financial Statements for the year ended 31st March, 2023</v>
          </cell>
        </row>
        <row r="360">
          <cell r="D360">
            <v>0.22902478000000004</v>
          </cell>
          <cell r="E360">
            <v>0.16887729600000001</v>
          </cell>
        </row>
        <row r="418">
          <cell r="D418">
            <v>10.746824050000001</v>
          </cell>
          <cell r="E418">
            <v>106.753225925</v>
          </cell>
        </row>
      </sheetData>
      <sheetData sheetId="5">
        <row r="9">
          <cell r="C9">
            <v>1678.7517123700002</v>
          </cell>
        </row>
        <row r="10">
          <cell r="C10">
            <v>131.01774349999999</v>
          </cell>
        </row>
        <row r="11">
          <cell r="C11">
            <v>2035.3038791610002</v>
          </cell>
        </row>
        <row r="12">
          <cell r="C12">
            <v>1558.193879272</v>
          </cell>
        </row>
        <row r="13">
          <cell r="C13">
            <v>3767.0572018599996</v>
          </cell>
        </row>
        <row r="14">
          <cell r="C14">
            <v>1735.5792325299999</v>
          </cell>
        </row>
        <row r="15">
          <cell r="C15">
            <v>1348.328281655</v>
          </cell>
        </row>
        <row r="16">
          <cell r="C16">
            <v>54035.748937204</v>
          </cell>
        </row>
        <row r="19">
          <cell r="C19">
            <v>841.91768669399994</v>
          </cell>
        </row>
        <row r="20">
          <cell r="C20">
            <v>74.723972019000001</v>
          </cell>
        </row>
        <row r="21">
          <cell r="C21">
            <v>55.107586427999998</v>
          </cell>
        </row>
        <row r="22">
          <cell r="C22">
            <v>92.882042196</v>
          </cell>
        </row>
        <row r="23">
          <cell r="C23">
            <v>86.980283909999997</v>
          </cell>
        </row>
        <row r="26">
          <cell r="C26">
            <v>67441.592439499</v>
          </cell>
          <cell r="D26">
            <v>67441.592439499</v>
          </cell>
          <cell r="F26">
            <v>66595.739016514985</v>
          </cell>
        </row>
        <row r="28">
          <cell r="C28">
            <v>60.337797950000002</v>
          </cell>
        </row>
        <row r="29">
          <cell r="C29">
            <v>1350.951315716</v>
          </cell>
        </row>
        <row r="30">
          <cell r="C30">
            <v>831.24458695600003</v>
          </cell>
        </row>
        <row r="31">
          <cell r="C31">
            <v>2171.4833218869999</v>
          </cell>
        </row>
        <row r="32">
          <cell r="C32">
            <v>874.45816697900011</v>
          </cell>
        </row>
        <row r="33">
          <cell r="C33">
            <v>422.42637009499998</v>
          </cell>
        </row>
        <row r="34">
          <cell r="C34">
            <v>29990.825415802003</v>
          </cell>
        </row>
        <row r="36">
          <cell r="C36">
            <v>518.73213405199999</v>
          </cell>
        </row>
        <row r="37">
          <cell r="C37">
            <v>28.613181192000003</v>
          </cell>
        </row>
        <row r="38">
          <cell r="C38">
            <v>35.527038404999999</v>
          </cell>
        </row>
        <row r="39">
          <cell r="C39">
            <v>51.966004622</v>
          </cell>
        </row>
        <row r="40">
          <cell r="C40">
            <v>64.514075070000004</v>
          </cell>
        </row>
        <row r="42">
          <cell r="C42">
            <v>36401.079408726007</v>
          </cell>
          <cell r="D42">
            <v>36401.079408726007</v>
          </cell>
          <cell r="F42">
            <v>33821.015247459</v>
          </cell>
        </row>
        <row r="48">
          <cell r="C48">
            <v>3419.2373834</v>
          </cell>
          <cell r="E48">
            <v>3673.0598977</v>
          </cell>
        </row>
        <row r="51">
          <cell r="C51">
            <v>56.245604590999996</v>
          </cell>
        </row>
        <row r="52">
          <cell r="C52">
            <v>51.951534522999999</v>
          </cell>
        </row>
        <row r="53">
          <cell r="C53">
            <v>4.2940700679999964</v>
          </cell>
          <cell r="E53">
            <v>3.1431939830000033</v>
          </cell>
        </row>
        <row r="60">
          <cell r="C60">
            <v>12.603990329</v>
          </cell>
          <cell r="E60">
            <v>12.603990329</v>
          </cell>
        </row>
        <row r="61">
          <cell r="C61">
            <v>7.4501800889999998</v>
          </cell>
          <cell r="E61">
            <v>7.4501800889999998</v>
          </cell>
        </row>
        <row r="62">
          <cell r="C62">
            <v>86.898214598999999</v>
          </cell>
          <cell r="E62">
            <v>86.898214598999999</v>
          </cell>
        </row>
        <row r="63">
          <cell r="C63">
            <v>12.813927629</v>
          </cell>
          <cell r="E63">
            <v>12.813927629</v>
          </cell>
        </row>
        <row r="64">
          <cell r="C64">
            <v>4.8626668479999999</v>
          </cell>
          <cell r="E64">
            <v>4.8626668479999999</v>
          </cell>
        </row>
        <row r="65">
          <cell r="C65">
            <v>1085.0955059830001</v>
          </cell>
          <cell r="E65">
            <v>1085.0388533830001</v>
          </cell>
        </row>
        <row r="66">
          <cell r="C66">
            <v>4.4639498639999999</v>
          </cell>
          <cell r="E66">
            <v>4.4639498639999999</v>
          </cell>
        </row>
        <row r="67">
          <cell r="C67">
            <v>3.1365620230000002</v>
          </cell>
          <cell r="E67">
            <v>2.9548037219999999</v>
          </cell>
        </row>
        <row r="68">
          <cell r="C68">
            <v>1.403081271</v>
          </cell>
          <cell r="E68">
            <v>1.390222276</v>
          </cell>
        </row>
        <row r="69">
          <cell r="C69">
            <v>4.4971767690000002</v>
          </cell>
          <cell r="E69">
            <v>4.2908619029999997</v>
          </cell>
        </row>
        <row r="70">
          <cell r="C70">
            <v>0.44461519999999999</v>
          </cell>
          <cell r="E70">
            <v>0.44461519999999999</v>
          </cell>
        </row>
        <row r="76">
          <cell r="C76">
            <v>10.943974465</v>
          </cell>
          <cell r="E76">
            <v>10.943974465</v>
          </cell>
        </row>
        <row r="77">
          <cell r="C77">
            <v>6.5721391650000003</v>
          </cell>
          <cell r="E77">
            <v>6.5721391650000003</v>
          </cell>
        </row>
        <row r="78">
          <cell r="C78">
            <v>77.865547253999992</v>
          </cell>
          <cell r="E78">
            <v>77.865547253999992</v>
          </cell>
        </row>
        <row r="79">
          <cell r="C79">
            <v>9.0118232850000002</v>
          </cell>
          <cell r="E79">
            <v>9.0118232850000002</v>
          </cell>
        </row>
        <row r="80">
          <cell r="C80">
            <v>4.2900636969999999</v>
          </cell>
          <cell r="E80">
            <v>4.2900636969999999</v>
          </cell>
        </row>
        <row r="81">
          <cell r="C81">
            <v>961.17367607900007</v>
          </cell>
          <cell r="E81">
            <v>961.12268857900006</v>
          </cell>
        </row>
        <row r="82">
          <cell r="C82">
            <v>3.6525181719999997</v>
          </cell>
          <cell r="E82">
            <v>3.6525181719999997</v>
          </cell>
        </row>
        <row r="83">
          <cell r="C83">
            <v>2.8229065090000001</v>
          </cell>
          <cell r="E83">
            <v>2.6593240389999999</v>
          </cell>
        </row>
        <row r="84">
          <cell r="C84">
            <v>1.262557876</v>
          </cell>
          <cell r="E84">
            <v>1.2509847810000001</v>
          </cell>
        </row>
        <row r="85">
          <cell r="C85">
            <v>4.0401801930000003</v>
          </cell>
          <cell r="E85">
            <v>3.8556711869999996</v>
          </cell>
        </row>
        <row r="86">
          <cell r="C86">
            <v>0.40015367999999996</v>
          </cell>
          <cell r="E86">
            <v>0.40015367999999996</v>
          </cell>
        </row>
        <row r="88">
          <cell r="C88">
            <v>22.086150316999998</v>
          </cell>
          <cell r="E88">
            <v>20.549772566999998</v>
          </cell>
        </row>
        <row r="90">
          <cell r="D90">
            <v>119.54817991200002</v>
          </cell>
          <cell r="F90">
            <v>121.03762497100001</v>
          </cell>
        </row>
        <row r="112">
          <cell r="D112">
            <v>5793.8387559570001</v>
          </cell>
          <cell r="F112">
            <v>4703.5082975660007</v>
          </cell>
        </row>
        <row r="114">
          <cell r="D114">
            <v>574.16186102100005</v>
          </cell>
          <cell r="F114">
            <v>378.067937207</v>
          </cell>
        </row>
        <row r="118">
          <cell r="D118">
            <v>0.05</v>
          </cell>
          <cell r="F118">
            <v>0.05</v>
          </cell>
        </row>
        <row r="119">
          <cell r="D119">
            <v>0.05</v>
          </cell>
          <cell r="F119">
            <v>0.05</v>
          </cell>
        </row>
        <row r="120">
          <cell r="D120">
            <v>0.03</v>
          </cell>
          <cell r="F120">
            <v>0.03</v>
          </cell>
        </row>
        <row r="121">
          <cell r="D121">
            <v>0.03</v>
          </cell>
          <cell r="F121">
            <v>0.03</v>
          </cell>
        </row>
        <row r="123">
          <cell r="D123">
            <v>0.52</v>
          </cell>
          <cell r="F123">
            <v>0.52</v>
          </cell>
        </row>
        <row r="135">
          <cell r="D135">
            <v>49.574360783000003</v>
          </cell>
          <cell r="F135">
            <v>49.177270882999998</v>
          </cell>
        </row>
        <row r="142">
          <cell r="D142">
            <v>47.753430582999997</v>
          </cell>
          <cell r="F142">
            <v>47.455667583</v>
          </cell>
        </row>
        <row r="148">
          <cell r="D148">
            <v>0.11</v>
          </cell>
          <cell r="F148">
            <v>0.11</v>
          </cell>
        </row>
        <row r="155">
          <cell r="D155">
            <v>91.206204</v>
          </cell>
          <cell r="F155">
            <v>89.062062800000007</v>
          </cell>
        </row>
        <row r="158">
          <cell r="D158">
            <v>0</v>
          </cell>
        </row>
        <row r="172">
          <cell r="D172">
            <v>238.76932591899995</v>
          </cell>
          <cell r="F172">
            <v>331.85930816000007</v>
          </cell>
        </row>
        <row r="173">
          <cell r="D173">
            <v>-233.91713381899996</v>
          </cell>
          <cell r="F173">
            <v>-327.00711606000004</v>
          </cell>
        </row>
        <row r="174">
          <cell r="D174">
            <v>-4.8521920999999999</v>
          </cell>
          <cell r="F174">
            <v>-4.8521920999999999</v>
          </cell>
        </row>
        <row r="181">
          <cell r="D181">
            <v>203.595050566</v>
          </cell>
          <cell r="F181">
            <v>203.595050566</v>
          </cell>
        </row>
        <row r="182">
          <cell r="D182">
            <v>-203.595050566</v>
          </cell>
          <cell r="F182">
            <v>-203.595050566</v>
          </cell>
        </row>
        <row r="186">
          <cell r="D186">
            <v>76.211765499999998</v>
          </cell>
          <cell r="F186">
            <v>76.211765499999998</v>
          </cell>
        </row>
        <row r="187">
          <cell r="D187">
            <v>-76.211765499999998</v>
          </cell>
          <cell r="F187">
            <v>-76.211765499999998</v>
          </cell>
        </row>
        <row r="200">
          <cell r="D200">
            <v>296.60033398299993</v>
          </cell>
          <cell r="F200">
            <v>266.77299774400035</v>
          </cell>
        </row>
        <row r="219">
          <cell r="D219">
            <v>0</v>
          </cell>
          <cell r="F219">
            <v>0.22177115499999997</v>
          </cell>
        </row>
        <row r="221">
          <cell r="D221">
            <v>1.4262655</v>
          </cell>
          <cell r="F221">
            <v>1.6583991</v>
          </cell>
        </row>
        <row r="222">
          <cell r="D222">
            <v>323.902233663</v>
          </cell>
          <cell r="F222">
            <v>163.301880963</v>
          </cell>
        </row>
        <row r="226">
          <cell r="D226">
            <v>0</v>
          </cell>
          <cell r="F226">
            <v>0</v>
          </cell>
        </row>
        <row r="239">
          <cell r="D239">
            <v>1193.6860641599999</v>
          </cell>
          <cell r="F239">
            <v>470.037504114</v>
          </cell>
        </row>
        <row r="245">
          <cell r="D245">
            <v>318.00257912000001</v>
          </cell>
          <cell r="F245">
            <v>281.96677375699994</v>
          </cell>
        </row>
        <row r="253">
          <cell r="D253">
            <v>0</v>
          </cell>
        </row>
        <row r="255">
          <cell r="D255">
            <v>0</v>
          </cell>
          <cell r="F255">
            <v>0</v>
          </cell>
        </row>
        <row r="259">
          <cell r="D259">
            <v>64.560518199000001</v>
          </cell>
          <cell r="E259">
            <v>71.890221659000005</v>
          </cell>
        </row>
        <row r="279">
          <cell r="D279">
            <v>963.87835612999993</v>
          </cell>
          <cell r="F279">
            <v>856.640775813</v>
          </cell>
        </row>
        <row r="280">
          <cell r="D280">
            <v>-385.94918471199998</v>
          </cell>
          <cell r="F280">
            <v>-402.23597693099998</v>
          </cell>
        </row>
        <row r="281">
          <cell r="D281">
            <v>-39.395743226999997</v>
          </cell>
          <cell r="F281">
            <v>-22.538118780000001</v>
          </cell>
        </row>
        <row r="295">
          <cell r="D295">
            <v>26186.446000509</v>
          </cell>
          <cell r="F295">
            <v>27415.570788326</v>
          </cell>
        </row>
        <row r="296">
          <cell r="D296">
            <v>-183.68105705100001</v>
          </cell>
          <cell r="F296">
            <v>-183.68105705100001</v>
          </cell>
        </row>
        <row r="303">
          <cell r="D303">
            <v>263.66342570199998</v>
          </cell>
          <cell r="F303">
            <v>11.769918049000003</v>
          </cell>
        </row>
        <row r="307">
          <cell r="D307">
            <v>0</v>
          </cell>
          <cell r="F307">
            <v>0</v>
          </cell>
        </row>
        <row r="308">
          <cell r="D308">
            <v>1.4654745E-2</v>
          </cell>
          <cell r="F308">
            <v>1.7346445000000002E-2</v>
          </cell>
        </row>
        <row r="329">
          <cell r="D329">
            <v>1.781401367</v>
          </cell>
          <cell r="F329">
            <v>5.3623333400000002</v>
          </cell>
        </row>
        <row r="330">
          <cell r="D330">
            <v>0</v>
          </cell>
          <cell r="F330">
            <v>0</v>
          </cell>
        </row>
        <row r="332">
          <cell r="D332">
            <v>0</v>
          </cell>
        </row>
        <row r="347">
          <cell r="D347">
            <v>3.9865038089999998</v>
          </cell>
          <cell r="F347">
            <v>3.0424724009999999</v>
          </cell>
        </row>
        <row r="349">
          <cell r="D349">
            <v>5564.6297004089993</v>
          </cell>
          <cell r="F349">
            <v>1225.3813603120002</v>
          </cell>
        </row>
        <row r="350">
          <cell r="D350">
            <v>0</v>
          </cell>
          <cell r="F350">
            <v>0</v>
          </cell>
        </row>
        <row r="354">
          <cell r="D354">
            <v>27.608270213999997</v>
          </cell>
          <cell r="F354">
            <v>29.005027813999998</v>
          </cell>
        </row>
        <row r="356">
          <cell r="D356">
            <v>2.940679668</v>
          </cell>
          <cell r="F356">
            <v>2.0145718000000001</v>
          </cell>
        </row>
        <row r="357">
          <cell r="D357">
            <v>110.951158273</v>
          </cell>
          <cell r="F357">
            <v>111.33233335199999</v>
          </cell>
        </row>
        <row r="362">
          <cell r="D362">
            <v>15.470166000000001</v>
          </cell>
          <cell r="F362">
            <v>15.886483</v>
          </cell>
        </row>
        <row r="363">
          <cell r="D363">
            <v>1.7416499999999999</v>
          </cell>
          <cell r="F363">
            <v>1.9577500000000001</v>
          </cell>
        </row>
        <row r="370">
          <cell r="D370">
            <v>163.70650697299999</v>
          </cell>
          <cell r="F370">
            <v>162.09706272299999</v>
          </cell>
        </row>
        <row r="374">
          <cell r="D374">
            <v>35.312575172000003</v>
          </cell>
          <cell r="F374">
            <v>26.947556613</v>
          </cell>
        </row>
        <row r="377">
          <cell r="D377">
            <v>408.85345701</v>
          </cell>
          <cell r="F377">
            <v>336.00115118999997</v>
          </cell>
        </row>
        <row r="381">
          <cell r="D381">
            <v>461.36615917400002</v>
          </cell>
          <cell r="F381">
            <v>532.74205547299994</v>
          </cell>
        </row>
        <row r="382">
          <cell r="D382">
            <v>0</v>
          </cell>
          <cell r="F382">
            <v>0</v>
          </cell>
        </row>
        <row r="387">
          <cell r="F387">
            <v>25450.446225999996</v>
          </cell>
        </row>
        <row r="395">
          <cell r="D395">
            <v>-8488.3401748070009</v>
          </cell>
          <cell r="F395">
            <v>-6805.4560021769994</v>
          </cell>
        </row>
        <row r="396">
          <cell r="D396">
            <v>265.27238875300003</v>
          </cell>
          <cell r="F396">
            <v>265.27238875300003</v>
          </cell>
        </row>
        <row r="398">
          <cell r="F398">
            <v>468.05001187801292</v>
          </cell>
        </row>
        <row r="412">
          <cell r="D412">
            <v>22955.599296597426</v>
          </cell>
          <cell r="F412">
            <v>20307.063223320834</v>
          </cell>
        </row>
        <row r="438">
          <cell r="D438">
            <v>1315.7896163999997</v>
          </cell>
          <cell r="F438">
            <v>1383.6393369</v>
          </cell>
        </row>
        <row r="446">
          <cell r="D446">
            <v>0</v>
          </cell>
          <cell r="E446">
            <v>0</v>
          </cell>
        </row>
        <row r="449">
          <cell r="D449">
            <v>255.4055482</v>
          </cell>
          <cell r="F449">
            <v>249.30234190000002</v>
          </cell>
        </row>
        <row r="453">
          <cell r="D453">
            <v>156.4779509</v>
          </cell>
          <cell r="F453">
            <v>165.56232129999998</v>
          </cell>
        </row>
        <row r="460">
          <cell r="D460">
            <v>0</v>
          </cell>
          <cell r="F460">
            <v>105.62398735799999</v>
          </cell>
        </row>
        <row r="461">
          <cell r="B461" t="str">
            <v>GOM -Central Financial Assistance</v>
          </cell>
          <cell r="D461">
            <v>4.0669728000000003</v>
          </cell>
        </row>
        <row r="470">
          <cell r="D470">
            <v>2926.5594399255865</v>
          </cell>
          <cell r="F470">
            <v>3069.8995987232825</v>
          </cell>
        </row>
        <row r="473">
          <cell r="D473">
            <v>558.20255659999998</v>
          </cell>
          <cell r="F473">
            <v>539.47256479999999</v>
          </cell>
        </row>
        <row r="474">
          <cell r="D474">
            <v>595.24605069999996</v>
          </cell>
          <cell r="F474">
            <v>572.06474839999998</v>
          </cell>
        </row>
        <row r="484">
          <cell r="C484">
            <v>364.96133279999998</v>
          </cell>
        </row>
        <row r="489">
          <cell r="D489">
            <v>654.67374213900007</v>
          </cell>
          <cell r="F489">
            <v>289.46240933900003</v>
          </cell>
        </row>
        <row r="505">
          <cell r="C505">
            <v>-3.8269318969999997</v>
          </cell>
          <cell r="E505">
            <v>0.48937720300000004</v>
          </cell>
        </row>
        <row r="506">
          <cell r="C506">
            <v>3.8184885950000003</v>
          </cell>
          <cell r="E506">
            <v>-0.70224115799999998</v>
          </cell>
        </row>
        <row r="507">
          <cell r="C507">
            <v>-5.9287999999999999E-5</v>
          </cell>
          <cell r="E507">
            <v>-5.9287999999999999E-5</v>
          </cell>
        </row>
        <row r="508">
          <cell r="C508">
            <v>583.95762063900008</v>
          </cell>
          <cell r="E508">
            <v>-0.19291103500000001</v>
          </cell>
        </row>
        <row r="509">
          <cell r="C509">
            <v>29.491588554000003</v>
          </cell>
          <cell r="E509">
            <v>29.491588554000003</v>
          </cell>
        </row>
        <row r="510">
          <cell r="C510">
            <v>-14.548362383000001</v>
          </cell>
          <cell r="E510">
            <v>-28.704782158999997</v>
          </cell>
        </row>
        <row r="511">
          <cell r="C511">
            <v>0</v>
          </cell>
          <cell r="E511">
            <v>0</v>
          </cell>
        </row>
        <row r="512">
          <cell r="C512">
            <v>0.264445608</v>
          </cell>
          <cell r="E512">
            <v>1.4173910380000001</v>
          </cell>
        </row>
        <row r="513">
          <cell r="C513">
            <v>0</v>
          </cell>
          <cell r="E513">
            <v>0</v>
          </cell>
        </row>
        <row r="514">
          <cell r="C514">
            <v>9.6951829510000014</v>
          </cell>
          <cell r="E514">
            <v>6.9524773709999996</v>
          </cell>
        </row>
        <row r="515">
          <cell r="C515">
            <v>0</v>
          </cell>
          <cell r="E515">
            <v>0</v>
          </cell>
        </row>
        <row r="516">
          <cell r="C516">
            <v>-3.1658709999999998E-3</v>
          </cell>
          <cell r="E516">
            <v>-3.2307709999999999E-3</v>
          </cell>
        </row>
        <row r="518">
          <cell r="C518">
            <v>-3.6665582000000002E-2</v>
          </cell>
          <cell r="E518">
            <v>-5.0881999999999998E-5</v>
          </cell>
        </row>
        <row r="519">
          <cell r="C519">
            <v>0</v>
          </cell>
          <cell r="E519">
            <v>0</v>
          </cell>
        </row>
        <row r="520">
          <cell r="D520">
            <v>8430.3274375890014</v>
          </cell>
          <cell r="F520">
            <v>7809.725008344999</v>
          </cell>
        </row>
        <row r="541">
          <cell r="D541">
            <v>4212.8707618999997</v>
          </cell>
          <cell r="F541">
            <v>4515.5027161999997</v>
          </cell>
        </row>
        <row r="542">
          <cell r="D542">
            <v>3008.6983286605678</v>
          </cell>
          <cell r="F542">
            <v>3586.7015421791675</v>
          </cell>
        </row>
        <row r="564">
          <cell r="D564">
            <v>1620.8333318999998</v>
          </cell>
          <cell r="F564">
            <v>1387.4999995000001</v>
          </cell>
        </row>
        <row r="573">
          <cell r="D573">
            <v>0.21883079999999999</v>
          </cell>
          <cell r="F573">
            <v>1.9636041497979999</v>
          </cell>
        </row>
        <row r="629">
          <cell r="D629">
            <v>8102.969552442999</v>
          </cell>
          <cell r="F629">
            <v>6651.4754589652011</v>
          </cell>
        </row>
        <row r="641">
          <cell r="D641">
            <v>2078.9247488449996</v>
          </cell>
          <cell r="F641">
            <v>1655.376802325</v>
          </cell>
        </row>
        <row r="645">
          <cell r="D645">
            <v>221.60511809500002</v>
          </cell>
          <cell r="F645">
            <v>179.81683794399999</v>
          </cell>
        </row>
        <row r="647">
          <cell r="C647">
            <v>13.0395278</v>
          </cell>
          <cell r="E647">
            <v>13.6508678</v>
          </cell>
        </row>
        <row r="650">
          <cell r="C650">
            <v>51.338448</v>
          </cell>
          <cell r="E650">
            <v>164.2834431</v>
          </cell>
        </row>
        <row r="657">
          <cell r="D657">
            <v>107.9310807</v>
          </cell>
          <cell r="F657">
            <v>198.30443490000002</v>
          </cell>
        </row>
        <row r="658">
          <cell r="D658">
            <v>143.34015883641359</v>
          </cell>
          <cell r="F658">
            <v>161.37657508971779</v>
          </cell>
        </row>
        <row r="660">
          <cell r="D660">
            <v>109.202121408</v>
          </cell>
          <cell r="F660">
            <v>113.757208968</v>
          </cell>
        </row>
        <row r="672">
          <cell r="D672">
            <v>845.82049583800006</v>
          </cell>
          <cell r="F672">
            <v>825.53064624099989</v>
          </cell>
        </row>
        <row r="673">
          <cell r="C673">
            <v>223.98553004099998</v>
          </cell>
          <cell r="E673">
            <v>172.41592859100001</v>
          </cell>
        </row>
        <row r="674">
          <cell r="C674">
            <v>487.7325586</v>
          </cell>
          <cell r="E674">
            <v>388.24378400000001</v>
          </cell>
        </row>
        <row r="680">
          <cell r="D680">
            <v>2.5797696989999999</v>
          </cell>
          <cell r="F680">
            <v>2.340666659</v>
          </cell>
        </row>
        <row r="708">
          <cell r="D708">
            <v>96.164346129999998</v>
          </cell>
          <cell r="F708">
            <v>164.985980826</v>
          </cell>
        </row>
        <row r="719">
          <cell r="D719">
            <v>81.686899999999994</v>
          </cell>
          <cell r="F719">
            <v>36.905000000000001</v>
          </cell>
        </row>
        <row r="734">
          <cell r="D734">
            <v>42.332451702</v>
          </cell>
          <cell r="F734">
            <v>41.330191228000004</v>
          </cell>
        </row>
        <row r="740">
          <cell r="D740">
            <v>0.61250196800000001</v>
          </cell>
          <cell r="F740">
            <v>0.20294429400000003</v>
          </cell>
        </row>
        <row r="756">
          <cell r="D756">
            <v>9.8194741000000002E-2</v>
          </cell>
          <cell r="F756">
            <v>0.106127629</v>
          </cell>
        </row>
        <row r="789">
          <cell r="D789">
            <v>57.491849813999998</v>
          </cell>
          <cell r="E789">
            <v>1.3678924589999999</v>
          </cell>
          <cell r="F789">
            <v>34.958485046999996</v>
          </cell>
        </row>
        <row r="793">
          <cell r="D793">
            <v>0.13512250000000001</v>
          </cell>
          <cell r="F793">
            <v>0.12963820000000001</v>
          </cell>
        </row>
        <row r="798">
          <cell r="D798">
            <v>97.033344397000064</v>
          </cell>
          <cell r="F798">
            <v>118.53987642799996</v>
          </cell>
        </row>
        <row r="799">
          <cell r="D799">
            <v>142.04039931199998</v>
          </cell>
          <cell r="F799">
            <v>146.68159984199997</v>
          </cell>
        </row>
        <row r="1422">
          <cell r="I1422">
            <v>-183.68105705100001</v>
          </cell>
        </row>
      </sheetData>
      <sheetData sheetId="6">
        <row r="18">
          <cell r="D18">
            <v>4782.3322485070003</v>
          </cell>
          <cell r="F18">
            <v>13.991143697999998</v>
          </cell>
        </row>
        <row r="23">
          <cell r="E23">
            <v>28887.792758649004</v>
          </cell>
          <cell r="G23">
            <v>21951.027246148002</v>
          </cell>
        </row>
        <row r="27">
          <cell r="E27">
            <v>3949.250313</v>
          </cell>
          <cell r="G27">
            <v>1108.1559973000001</v>
          </cell>
        </row>
        <row r="28">
          <cell r="E28">
            <v>117.87754211099998</v>
          </cell>
          <cell r="G28">
            <v>51.313423444000001</v>
          </cell>
        </row>
        <row r="29">
          <cell r="E29">
            <v>1.536765613</v>
          </cell>
          <cell r="G29">
            <v>0</v>
          </cell>
        </row>
        <row r="30">
          <cell r="E30">
            <v>116.40306378199999</v>
          </cell>
          <cell r="G30">
            <v>181.65357375799999</v>
          </cell>
        </row>
        <row r="32">
          <cell r="E32">
            <v>0</v>
          </cell>
          <cell r="G32">
            <v>0</v>
          </cell>
        </row>
        <row r="42">
          <cell r="E42">
            <v>0.22902478000000004</v>
          </cell>
          <cell r="G42">
            <v>0.16887729600000001</v>
          </cell>
        </row>
        <row r="52">
          <cell r="E52">
            <v>4.4345818419999992</v>
          </cell>
          <cell r="G52">
            <v>4.8582276289999999</v>
          </cell>
        </row>
        <row r="61">
          <cell r="E61">
            <v>31.438449506999998</v>
          </cell>
          <cell r="G61">
            <v>73.772604280999985</v>
          </cell>
        </row>
        <row r="63">
          <cell r="E63">
            <v>86.248659975999999</v>
          </cell>
          <cell r="G63">
            <v>27.143984060000001</v>
          </cell>
        </row>
        <row r="64">
          <cell r="E64">
            <v>5.0000000000000001E-3</v>
          </cell>
          <cell r="G64">
            <v>2.5100000000000001E-2</v>
          </cell>
        </row>
        <row r="65">
          <cell r="E65">
            <v>127.83927792700001</v>
          </cell>
          <cell r="G65">
            <v>117.55086817599999</v>
          </cell>
        </row>
        <row r="76">
          <cell r="D76">
            <v>0</v>
          </cell>
          <cell r="F76">
            <v>0</v>
          </cell>
        </row>
        <row r="83">
          <cell r="E83">
            <v>21401.30131345</v>
          </cell>
          <cell r="G83">
            <v>13994.072569645998</v>
          </cell>
        </row>
        <row r="108">
          <cell r="E108">
            <v>211.03443160200001</v>
          </cell>
          <cell r="G108">
            <v>181.17247039</v>
          </cell>
        </row>
        <row r="110">
          <cell r="E110">
            <v>278.2720339</v>
          </cell>
          <cell r="G110">
            <v>388.1135653</v>
          </cell>
        </row>
        <row r="112">
          <cell r="E112">
            <v>945.23648727700004</v>
          </cell>
          <cell r="G112">
            <v>377.162098996</v>
          </cell>
        </row>
        <row r="116">
          <cell r="E116">
            <v>822.98541388900003</v>
          </cell>
          <cell r="G116">
            <v>395.10324600200005</v>
          </cell>
        </row>
        <row r="127">
          <cell r="E127">
            <v>324.15974496300004</v>
          </cell>
          <cell r="G127">
            <v>288.81969009599993</v>
          </cell>
        </row>
        <row r="137">
          <cell r="E137">
            <v>1268.3000814499999</v>
          </cell>
          <cell r="G137">
            <v>1175.0356517450002</v>
          </cell>
        </row>
        <row r="154">
          <cell r="E154">
            <v>123.9564458</v>
          </cell>
          <cell r="G154">
            <v>116.7236534</v>
          </cell>
        </row>
        <row r="155">
          <cell r="E155">
            <v>214.22030843100001</v>
          </cell>
          <cell r="G155">
            <v>239.19650861299999</v>
          </cell>
        </row>
        <row r="163">
          <cell r="E163">
            <v>99.604207505999995</v>
          </cell>
          <cell r="G163">
            <v>131.58957285700001</v>
          </cell>
        </row>
        <row r="189">
          <cell r="E189">
            <v>19.753063399999998</v>
          </cell>
          <cell r="G189">
            <v>51.507953000000001</v>
          </cell>
        </row>
        <row r="192">
          <cell r="E192">
            <v>3483.2896559770006</v>
          </cell>
          <cell r="G192">
            <v>3520.2183973330002</v>
          </cell>
        </row>
        <row r="207">
          <cell r="D207">
            <v>331.19554014899995</v>
          </cell>
          <cell r="F207">
            <v>347.18708092899999</v>
          </cell>
        </row>
        <row r="209">
          <cell r="E209">
            <v>9.8601437020000002</v>
          </cell>
          <cell r="G209">
            <v>3.3193659129999999</v>
          </cell>
        </row>
        <row r="219">
          <cell r="E219">
            <v>1.6931202679999999</v>
          </cell>
          <cell r="G219">
            <v>2.0530895999999998</v>
          </cell>
        </row>
        <row r="220">
          <cell r="E220">
            <v>82.875600000000006</v>
          </cell>
          <cell r="G220">
            <v>84.788999799999999</v>
          </cell>
        </row>
        <row r="222">
          <cell r="E222">
            <v>1527.56842052</v>
          </cell>
          <cell r="G222">
            <v>1330.2547763730001</v>
          </cell>
        </row>
        <row r="231">
          <cell r="E231">
            <v>0.76706291599999998</v>
          </cell>
          <cell r="G231">
            <v>1.14329141</v>
          </cell>
        </row>
        <row r="237">
          <cell r="E237">
            <v>26.908011381000001</v>
          </cell>
          <cell r="G237">
            <v>32.901833240000002</v>
          </cell>
        </row>
        <row r="241">
          <cell r="E241">
            <v>52.151190462000002</v>
          </cell>
          <cell r="G241">
            <v>26.019772459999999</v>
          </cell>
        </row>
        <row r="243">
          <cell r="E243">
            <v>28.635460676000001</v>
          </cell>
          <cell r="G243">
            <v>10.939209062</v>
          </cell>
        </row>
        <row r="247">
          <cell r="E247">
            <v>0</v>
          </cell>
          <cell r="G247">
            <v>0</v>
          </cell>
        </row>
        <row r="249">
          <cell r="E249">
            <v>0.17906525300000001</v>
          </cell>
          <cell r="G249">
            <v>5.9982177000000005E-2</v>
          </cell>
        </row>
        <row r="251">
          <cell r="E251">
            <v>38.445306602000002</v>
          </cell>
          <cell r="G251">
            <v>29.028856476999998</v>
          </cell>
        </row>
        <row r="256">
          <cell r="E256">
            <v>0</v>
          </cell>
          <cell r="G256">
            <v>0</v>
          </cell>
        </row>
        <row r="257">
          <cell r="E257">
            <v>18.280990943999999</v>
          </cell>
          <cell r="G257">
            <v>5.531187482</v>
          </cell>
        </row>
        <row r="261">
          <cell r="E261">
            <v>10.342248376999999</v>
          </cell>
          <cell r="G261">
            <v>3.7052174999999998</v>
          </cell>
        </row>
        <row r="262">
          <cell r="E262">
            <v>10.746824050000001</v>
          </cell>
          <cell r="G262">
            <v>106.753225925</v>
          </cell>
        </row>
        <row r="263">
          <cell r="E263">
            <v>0</v>
          </cell>
          <cell r="G263">
            <v>0</v>
          </cell>
        </row>
        <row r="264">
          <cell r="E264">
            <v>142.994912196</v>
          </cell>
          <cell r="G264">
            <v>114.965909913</v>
          </cell>
        </row>
        <row r="265">
          <cell r="E265">
            <v>74.362762492000002</v>
          </cell>
          <cell r="G265">
            <v>56.342442502999994</v>
          </cell>
        </row>
        <row r="266">
          <cell r="E266">
            <v>35.735643924000001</v>
          </cell>
          <cell r="G266">
            <v>28.391812718000001</v>
          </cell>
        </row>
        <row r="268">
          <cell r="E268">
            <v>74.081385744000002</v>
          </cell>
          <cell r="G268">
            <v>159.04222197999999</v>
          </cell>
        </row>
        <row r="310">
          <cell r="E310">
            <v>0.29646620099999998</v>
          </cell>
          <cell r="G310">
            <v>26.625149478000001</v>
          </cell>
        </row>
        <row r="311">
          <cell r="E311">
            <v>5.5115138110000004</v>
          </cell>
          <cell r="G311">
            <v>1.337666536</v>
          </cell>
        </row>
        <row r="312">
          <cell r="E312">
            <v>179.08925009999999</v>
          </cell>
        </row>
        <row r="315">
          <cell r="E315">
            <v>0.64500000000000002</v>
          </cell>
          <cell r="G315">
            <v>0.6349999999999999</v>
          </cell>
        </row>
        <row r="317">
          <cell r="E317">
            <v>1.5889400000000001E-2</v>
          </cell>
          <cell r="G317">
            <v>2.7669699999999998E-2</v>
          </cell>
        </row>
        <row r="318">
          <cell r="E318">
            <v>0.11755500000000001</v>
          </cell>
          <cell r="G318">
            <v>0.1197</v>
          </cell>
        </row>
        <row r="321">
          <cell r="E321">
            <v>2842.8386249599998</v>
          </cell>
          <cell r="G321">
            <v>2788.0829005650003</v>
          </cell>
        </row>
        <row r="339">
          <cell r="E339">
            <v>0</v>
          </cell>
          <cell r="G339">
            <v>0</v>
          </cell>
        </row>
        <row r="349">
          <cell r="E349">
            <v>0</v>
          </cell>
          <cell r="G349">
            <v>0</v>
          </cell>
        </row>
        <row r="374">
          <cell r="D374">
            <v>-222.37967269999999</v>
          </cell>
        </row>
      </sheetData>
      <sheetData sheetId="7">
        <row r="254">
          <cell r="I254">
            <v>8.2643894289999995</v>
          </cell>
          <cell r="J254">
            <v>8.2612394289999997</v>
          </cell>
        </row>
      </sheetData>
      <sheetData sheetId="8">
        <row r="5">
          <cell r="A5" t="str">
            <v>As on 31.03.2021</v>
          </cell>
        </row>
        <row r="9">
          <cell r="A9" t="str">
            <v>As at 31.03.2022</v>
          </cell>
        </row>
        <row r="11">
          <cell r="A11" t="str">
            <v>As at 31.03.2023</v>
          </cell>
        </row>
        <row r="33">
          <cell r="B33">
            <v>91.14101530401723</v>
          </cell>
        </row>
      </sheetData>
      <sheetData sheetId="9"/>
      <sheetData sheetId="10">
        <row r="107">
          <cell r="D107">
            <v>3539.9622802030499</v>
          </cell>
          <cell r="E107">
            <v>4032.4571180359999</v>
          </cell>
        </row>
        <row r="109">
          <cell r="D109">
            <v>9.0843703999999832</v>
          </cell>
          <cell r="E109">
            <v>8.6290848000000153</v>
          </cell>
        </row>
      </sheetData>
      <sheetData sheetId="11"/>
      <sheetData sheetId="12">
        <row r="9">
          <cell r="P9">
            <v>972.96241495799984</v>
          </cell>
        </row>
        <row r="12">
          <cell r="P12">
            <v>2.9856089180000001</v>
          </cell>
        </row>
      </sheetData>
      <sheetData sheetId="13">
        <row r="8">
          <cell r="CM8">
            <v>1552.337942616</v>
          </cell>
        </row>
        <row r="25">
          <cell r="CM25">
            <v>34242.37498851899</v>
          </cell>
        </row>
        <row r="27">
          <cell r="CM27">
            <v>32774.730975755992</v>
          </cell>
        </row>
        <row r="29">
          <cell r="CM29">
            <v>31040.519772472988</v>
          </cell>
        </row>
      </sheetData>
      <sheetData sheetId="14">
        <row r="7">
          <cell r="E7">
            <v>0.5490235</v>
          </cell>
        </row>
        <row r="18">
          <cell r="C18">
            <v>0</v>
          </cell>
        </row>
        <row r="32">
          <cell r="C32">
            <v>2.8820104730000002</v>
          </cell>
        </row>
        <row r="33">
          <cell r="C33">
            <v>0.11793038</v>
          </cell>
        </row>
        <row r="40">
          <cell r="D40">
            <v>1.7311343879999999</v>
          </cell>
        </row>
      </sheetData>
      <sheetData sheetId="15"/>
      <sheetData sheetId="16"/>
      <sheetData sheetId="17"/>
      <sheetData sheetId="18"/>
      <sheetData sheetId="19">
        <row r="21">
          <cell r="D21">
            <v>468.05</v>
          </cell>
        </row>
        <row r="22">
          <cell r="D22">
            <v>25918.496225999996</v>
          </cell>
          <cell r="F22">
            <v>25450.446225999996</v>
          </cell>
          <cell r="H22">
            <v>25407.946225999996</v>
          </cell>
        </row>
      </sheetData>
      <sheetData sheetId="20">
        <row r="4">
          <cell r="F4">
            <v>0.25168000000000001</v>
          </cell>
        </row>
        <row r="51">
          <cell r="C51">
            <v>492.57211519999993</v>
          </cell>
        </row>
      </sheetData>
      <sheetData sheetId="21"/>
      <sheetData sheetId="22">
        <row r="64">
          <cell r="D64">
            <v>4.971450996512</v>
          </cell>
        </row>
        <row r="77">
          <cell r="C77">
            <v>459.26706187625564</v>
          </cell>
          <cell r="D77">
            <v>12.963521611040001</v>
          </cell>
        </row>
      </sheetData>
      <sheetData sheetId="23"/>
      <sheetData sheetId="24"/>
      <sheetData sheetId="25"/>
      <sheetData sheetId="26">
        <row r="10">
          <cell r="E10">
            <v>45.031899999999993</v>
          </cell>
        </row>
        <row r="11">
          <cell r="E11">
            <v>364.96133279999998</v>
          </cell>
        </row>
      </sheetData>
      <sheetData sheetId="27"/>
      <sheetData sheetId="28"/>
      <sheetData sheetId="29"/>
      <sheetData sheetId="30"/>
      <sheetData sheetId="31"/>
      <sheetData sheetId="32"/>
      <sheetData sheetId="33"/>
      <sheetData sheetId="34"/>
      <sheetData sheetId="35"/>
      <sheetData sheetId="36">
        <row r="16">
          <cell r="F16">
            <v>500</v>
          </cell>
        </row>
        <row r="18">
          <cell r="F18">
            <v>650</v>
          </cell>
        </row>
        <row r="21">
          <cell r="F21">
            <v>2000</v>
          </cell>
        </row>
        <row r="22">
          <cell r="F22">
            <v>1000</v>
          </cell>
        </row>
        <row r="23">
          <cell r="F23">
            <v>62.499998699999992</v>
          </cell>
        </row>
        <row r="24">
          <cell r="F24">
            <v>75</v>
          </cell>
        </row>
      </sheetData>
      <sheetData sheetId="37">
        <row r="9">
          <cell r="E9">
            <v>917.57677150000006</v>
          </cell>
        </row>
        <row r="10">
          <cell r="E10">
            <v>174.18119999999999</v>
          </cell>
        </row>
        <row r="11">
          <cell r="E11">
            <v>1483.9457997150673</v>
          </cell>
        </row>
        <row r="12">
          <cell r="E12">
            <v>117.25993808749999</v>
          </cell>
        </row>
        <row r="13">
          <cell r="E13">
            <v>0</v>
          </cell>
        </row>
        <row r="14">
          <cell r="E14">
            <v>172.4</v>
          </cell>
        </row>
        <row r="15">
          <cell r="E15">
            <v>0</v>
          </cell>
        </row>
        <row r="23">
          <cell r="E23">
            <v>123.531461558</v>
          </cell>
        </row>
        <row r="24">
          <cell r="E24">
            <v>15.5035446</v>
          </cell>
        </row>
        <row r="29">
          <cell r="E29">
            <v>3004.3987154605679</v>
          </cell>
        </row>
        <row r="34">
          <cell r="D34">
            <v>160.77756410000001</v>
          </cell>
          <cell r="E34">
            <v>4.2996131999999996</v>
          </cell>
        </row>
      </sheetData>
      <sheetData sheetId="38">
        <row r="9">
          <cell r="C9">
            <v>16565625193.889999</v>
          </cell>
          <cell r="D9">
            <v>1061067379.3423893</v>
          </cell>
          <cell r="E9">
            <v>8845509082.9945507</v>
          </cell>
          <cell r="F9">
            <v>11643833166.077099</v>
          </cell>
          <cell r="G9">
            <v>25102206283.737125</v>
          </cell>
          <cell r="H9">
            <v>15862470363.69268</v>
          </cell>
          <cell r="I9">
            <v>6910487396.2359829</v>
          </cell>
          <cell r="J9">
            <v>371531179265.69299</v>
          </cell>
          <cell r="K9">
            <v>4892573480.6947966</v>
          </cell>
          <cell r="L9">
            <v>286167029.13308066</v>
          </cell>
          <cell r="M9">
            <v>339972824.09049332</v>
          </cell>
          <cell r="N9">
            <v>569836422.16330051</v>
          </cell>
          <cell r="O9">
            <v>574876135.97000003</v>
          </cell>
          <cell r="Q9">
            <v>341426898.47000003</v>
          </cell>
          <cell r="R9">
            <v>44401958415</v>
          </cell>
        </row>
        <row r="11">
          <cell r="C11">
            <v>95660227</v>
          </cell>
          <cell r="D11">
            <v>0</v>
          </cell>
          <cell r="E11">
            <v>14966800.339999998</v>
          </cell>
          <cell r="F11">
            <v>517844600.26999998</v>
          </cell>
          <cell r="G11">
            <v>1161705956.3800001</v>
          </cell>
          <cell r="H11">
            <v>245918722.05000001</v>
          </cell>
          <cell r="I11">
            <v>4982040110.4400005</v>
          </cell>
          <cell r="J11">
            <v>7710015929.1400003</v>
          </cell>
          <cell r="K11">
            <v>614332328.73000002</v>
          </cell>
          <cell r="L11">
            <v>103478184.59999999</v>
          </cell>
          <cell r="M11">
            <v>17591017.059999999</v>
          </cell>
          <cell r="N11">
            <v>59825550.149999999</v>
          </cell>
          <cell r="Q11">
            <v>32636266.509999998</v>
          </cell>
          <cell r="R11">
            <v>0</v>
          </cell>
        </row>
        <row r="12">
          <cell r="C12">
            <v>0</v>
          </cell>
          <cell r="D12">
            <v>0</v>
          </cell>
          <cell r="E12">
            <v>0</v>
          </cell>
          <cell r="F12">
            <v>6982136.3300000001</v>
          </cell>
          <cell r="G12">
            <v>41920993.670000002</v>
          </cell>
          <cell r="H12">
            <v>4268439381.54</v>
          </cell>
          <cell r="I12">
            <v>53838700.00999999</v>
          </cell>
          <cell r="J12">
            <v>5326792060.0500002</v>
          </cell>
          <cell r="K12">
            <v>29348153.98</v>
          </cell>
          <cell r="L12">
            <v>1370011</v>
          </cell>
          <cell r="M12">
            <v>0</v>
          </cell>
          <cell r="N12">
            <v>932713</v>
          </cell>
          <cell r="Q12">
            <v>0</v>
          </cell>
          <cell r="R12">
            <v>5490235</v>
          </cell>
        </row>
        <row r="16">
          <cell r="C16">
            <v>126231702.81</v>
          </cell>
          <cell r="D16">
            <v>0</v>
          </cell>
          <cell r="E16">
            <v>-2829546.09</v>
          </cell>
          <cell r="F16">
            <v>167931107.93000001</v>
          </cell>
          <cell r="G16">
            <v>180074641.34999999</v>
          </cell>
          <cell r="H16">
            <v>337598406.94999999</v>
          </cell>
          <cell r="I16">
            <v>409487866.41999996</v>
          </cell>
          <cell r="J16">
            <v>6930296724.1300001</v>
          </cell>
          <cell r="K16">
            <v>0</v>
          </cell>
          <cell r="L16">
            <v>183760311.25999999</v>
          </cell>
          <cell r="M16">
            <v>10752101.029999999</v>
          </cell>
          <cell r="N16">
            <v>145087002.22999999</v>
          </cell>
          <cell r="Q16">
            <v>28820104.730000004</v>
          </cell>
          <cell r="R16">
            <v>0</v>
          </cell>
        </row>
        <row r="17">
          <cell r="C17">
            <v>0</v>
          </cell>
          <cell r="D17">
            <v>0</v>
          </cell>
          <cell r="E17">
            <v>0</v>
          </cell>
          <cell r="F17">
            <v>28251251.229999997</v>
          </cell>
          <cell r="G17">
            <v>0</v>
          </cell>
          <cell r="H17">
            <v>-76585985.430000007</v>
          </cell>
          <cell r="I17">
            <v>0</v>
          </cell>
          <cell r="J17">
            <v>48439625.800000004</v>
          </cell>
          <cell r="K17">
            <v>0</v>
          </cell>
          <cell r="L17">
            <v>-1635824.7</v>
          </cell>
          <cell r="M17">
            <v>4625.6500000000087</v>
          </cell>
          <cell r="N17">
            <v>31382396.630000003</v>
          </cell>
          <cell r="Q17">
            <v>1179303.8</v>
          </cell>
          <cell r="R17">
            <v>0</v>
          </cell>
        </row>
        <row r="23">
          <cell r="C23">
            <v>0</v>
          </cell>
          <cell r="D23">
            <v>262559556.34238932</v>
          </cell>
          <cell r="E23">
            <v>1280846053.49455</v>
          </cell>
          <cell r="F23">
            <v>3949935402.64711</v>
          </cell>
          <cell r="G23">
            <v>7669488168.4471197</v>
          </cell>
          <cell r="H23">
            <v>3405434293.84268</v>
          </cell>
          <cell r="I23">
            <v>1299429242.6159799</v>
          </cell>
          <cell r="J23">
            <v>101645802685.11311</v>
          </cell>
          <cell r="K23">
            <v>1580948013.9547958</v>
          </cell>
          <cell r="L23">
            <v>55881843.433080606</v>
          </cell>
          <cell r="M23">
            <v>115853425.9104934</v>
          </cell>
          <cell r="N23">
            <v>231976668.153301</v>
          </cell>
          <cell r="O23">
            <v>263996354.56999999</v>
          </cell>
          <cell r="Q23">
            <v>315130106.80000001</v>
          </cell>
          <cell r="R23">
            <v>5115096879</v>
          </cell>
        </row>
        <row r="24">
          <cell r="C24">
            <v>0</v>
          </cell>
          <cell r="D24">
            <v>49164796.5</v>
          </cell>
          <cell r="E24">
            <v>367306861.30000001</v>
          </cell>
          <cell r="F24">
            <v>806309848.71000004</v>
          </cell>
          <cell r="G24">
            <v>1401398210.0999999</v>
          </cell>
          <cell r="H24">
            <v>914206232.65999997</v>
          </cell>
          <cell r="I24">
            <v>259671926.40000004</v>
          </cell>
          <cell r="J24">
            <v>21189468324.66</v>
          </cell>
          <cell r="K24">
            <v>236757289</v>
          </cell>
          <cell r="L24">
            <v>34598893.890000001</v>
          </cell>
          <cell r="M24">
            <v>29955693.739999998</v>
          </cell>
          <cell r="N24">
            <v>62509287.57</v>
          </cell>
          <cell r="O24">
            <v>48898485.600000001</v>
          </cell>
          <cell r="Q24">
            <v>27501118.350000001</v>
          </cell>
          <cell r="R24">
            <v>2556262559</v>
          </cell>
          <cell r="S24">
            <v>2310917</v>
          </cell>
        </row>
        <row r="25">
          <cell r="C25">
            <v>0</v>
          </cell>
          <cell r="D25">
            <v>0</v>
          </cell>
          <cell r="E25">
            <v>0</v>
          </cell>
          <cell r="F25">
            <v>-181917.00000000003</v>
          </cell>
          <cell r="G25">
            <v>-228050</v>
          </cell>
          <cell r="H25">
            <v>-12760174</v>
          </cell>
          <cell r="I25">
            <v>-33109</v>
          </cell>
          <cell r="J25">
            <v>-85320069.099999994</v>
          </cell>
          <cell r="K25">
            <v>-249468.00000000003</v>
          </cell>
          <cell r="L25">
            <v>0</v>
          </cell>
          <cell r="M25">
            <v>-96895.72</v>
          </cell>
          <cell r="N25">
            <v>-1999922.46</v>
          </cell>
          <cell r="O25">
            <v>0</v>
          </cell>
          <cell r="Q25">
            <v>0</v>
          </cell>
          <cell r="R25">
            <v>0</v>
          </cell>
        </row>
        <row r="26">
          <cell r="C26">
            <v>0</v>
          </cell>
          <cell r="D26">
            <v>0</v>
          </cell>
          <cell r="E26">
            <v>554528</v>
          </cell>
          <cell r="F26">
            <v>6449838.5999999996</v>
          </cell>
          <cell r="G26">
            <v>32972325.27</v>
          </cell>
          <cell r="H26">
            <v>1053800778.67</v>
          </cell>
          <cell r="I26">
            <v>-962860809.87</v>
          </cell>
          <cell r="J26">
            <v>4855620176.8400002</v>
          </cell>
          <cell r="K26">
            <v>-159473579.06999999</v>
          </cell>
          <cell r="L26">
            <v>1233009.8999999999</v>
          </cell>
          <cell r="M26">
            <v>-138258</v>
          </cell>
          <cell r="N26">
            <v>828902.7</v>
          </cell>
          <cell r="O26">
            <v>219424.6</v>
          </cell>
          <cell r="Q26">
            <v>0</v>
          </cell>
          <cell r="R26">
            <v>5490235</v>
          </cell>
        </row>
        <row r="29">
          <cell r="C29">
            <v>0</v>
          </cell>
          <cell r="D29">
            <v>42543571</v>
          </cell>
          <cell r="E29">
            <v>366522391</v>
          </cell>
          <cell r="F29">
            <v>306009888.93000001</v>
          </cell>
          <cell r="G29">
            <v>1408828544.49</v>
          </cell>
          <cell r="H29">
            <v>591666391.24000001</v>
          </cell>
          <cell r="I29">
            <v>467228687.60000002</v>
          </cell>
          <cell r="J29">
            <v>23046469704.41</v>
          </cell>
          <cell r="K29">
            <v>268772715</v>
          </cell>
          <cell r="L29">
            <v>46919517.700000003</v>
          </cell>
          <cell r="M29">
            <v>26841433.920000002</v>
          </cell>
          <cell r="N29">
            <v>72018625.329999998</v>
          </cell>
          <cell r="O29">
            <v>37538632</v>
          </cell>
          <cell r="Q29">
            <v>17311343.879999999</v>
          </cell>
          <cell r="R29">
            <v>2538225143</v>
          </cell>
          <cell r="S29">
            <v>16205208.659999963</v>
          </cell>
        </row>
        <row r="30">
          <cell r="C30">
            <v>0</v>
          </cell>
          <cell r="D30">
            <v>0</v>
          </cell>
          <cell r="E30">
            <v>-75</v>
          </cell>
          <cell r="F30">
            <v>-5314695</v>
          </cell>
          <cell r="G30">
            <v>-187459.7</v>
          </cell>
          <cell r="H30">
            <v>-201822524</v>
          </cell>
          <cell r="I30">
            <v>0</v>
          </cell>
          <cell r="J30">
            <v>-584365308.84000003</v>
          </cell>
          <cell r="K30">
            <v>0</v>
          </cell>
          <cell r="L30">
            <v>0</v>
          </cell>
          <cell r="M30">
            <v>0</v>
          </cell>
          <cell r="N30">
            <v>-615068.69999999995</v>
          </cell>
          <cell r="O30">
            <v>0</v>
          </cell>
          <cell r="Q30">
            <v>0</v>
          </cell>
          <cell r="R30">
            <v>0</v>
          </cell>
        </row>
        <row r="31">
          <cell r="C31">
            <v>0</v>
          </cell>
          <cell r="D31">
            <v>0</v>
          </cell>
          <cell r="E31">
            <v>0</v>
          </cell>
          <cell r="F31">
            <v>25426126.129999999</v>
          </cell>
          <cell r="G31">
            <v>0</v>
          </cell>
          <cell r="H31">
            <v>0</v>
          </cell>
          <cell r="I31">
            <v>0</v>
          </cell>
          <cell r="J31">
            <v>9410140.3099999912</v>
          </cell>
          <cell r="K31">
            <v>0</v>
          </cell>
          <cell r="L31">
            <v>23603814.699999999</v>
          </cell>
          <cell r="M31">
            <v>186079.55</v>
          </cell>
          <cell r="N31">
            <v>29787198.02</v>
          </cell>
          <cell r="O31">
            <v>0</v>
          </cell>
          <cell r="Q31">
            <v>1179303.8</v>
          </cell>
          <cell r="R31">
            <v>0</v>
          </cell>
        </row>
      </sheetData>
      <sheetData sheetId="39">
        <row r="54">
          <cell r="H54">
            <v>0</v>
          </cell>
        </row>
      </sheetData>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e"/>
      <sheetName val="tup"/>
      <sheetName val="mum"/>
      <sheetName val="ben"/>
      <sheetName val="total"/>
      <sheetName val="tbc"/>
    </sheetNames>
    <sheetDataSet>
      <sheetData sheetId="0"/>
      <sheetData sheetId="1"/>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Q1 SEBI"/>
      <sheetName val="BS - Ind AS"/>
      <sheetName val="BS Notes"/>
      <sheetName val="PL - Ind AS"/>
      <sheetName val="PL Notes"/>
      <sheetName val="Journal Entries"/>
      <sheetName val="TB"/>
      <sheetName val="Old tb"/>
      <sheetName val="int Accrued but not due"/>
      <sheetName val="Reserve Reco"/>
      <sheetName val="Sheet2"/>
      <sheetName val="EIR NCD"/>
      <sheetName val="DT components"/>
      <sheetName val="Reserve changes"/>
      <sheetName val="Proposed dividend"/>
      <sheetName val="Commission"/>
      <sheetName val="Loan processing fees"/>
      <sheetName val="Recovery Amount Working"/>
      <sheetName val="OVYS"/>
      <sheetName val="Sheet1 (2)"/>
      <sheetName val="Free Hold land- For Audit"/>
      <sheetName val="Security deposits-GSPC Gas"/>
      <sheetName val="DT calculations(new)"/>
      <sheetName val="DT calculations"/>
      <sheetName val="ICC"/>
      <sheetName val="Sheet5"/>
      <sheetName val="Indexation cal"/>
      <sheetName val="Mapping"/>
      <sheetName val="DT- Investment"/>
      <sheetName val="TB Sheet"/>
      <sheetName val="Ind AS Mapping (2)"/>
      <sheetName val="Sheet1"/>
      <sheetName val="alt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1 (2)"/>
      <sheetName val="Sheet4"/>
      <sheetName val="Sheet2"/>
      <sheetName val="depreciation"/>
      <sheetName val="Title"/>
      <sheetName val="Addl.40"/>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ivandi"/>
      <sheetName val="BENBOM"/>
      <sheetName val="GR CTWISE"/>
      <sheetName val="GRTN"/>
      <sheetName val="TIRUPUR"/>
      <sheetName val="ALTES"/>
      <sheetName val="Alte"/>
      <sheetName val="ISSUE"/>
      <sheetName val="TOTAL"/>
      <sheetName val="Realised Value 02-03"/>
      <sheetName val="VALUE"/>
      <sheetName val="Sheet2"/>
      <sheetName val="Sheet1"/>
      <sheetName val="AcqIS"/>
      <sheetName val="AcqBSCF"/>
      <sheetName val="Se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Index"/>
      <sheetName val="Trial Report"/>
      <sheetName val="PL"/>
      <sheetName val="BalanceSheet"/>
      <sheetName val="Sch_BS_Share Capita"/>
      <sheetName val="Sch_BS_Other_Liabilities"/>
      <sheetName val="Sch_BS_Assets"/>
      <sheetName val="Sch_BS_FA"/>
      <sheetName val="Sch_PL_Revenue"/>
      <sheetName val="Sch_PL_Exp"/>
      <sheetName val="Sheet1"/>
      <sheetName val="Sch_BS_Liabilities"/>
      <sheetName val="01-Balance sheet-IGAAP_AdaniEnt"/>
      <sheetName val="PL6-Revenue Bridge"/>
      <sheetName val="CoA"/>
      <sheetName val="ANAL"/>
      <sheetName val="Balance Sheet"/>
      <sheetName val="Masters"/>
      <sheetName val="BG Inputs"/>
      <sheetName val="FS"/>
      <sheetName val="DATA"/>
      <sheetName val="PC"/>
      <sheetName val="FACT"/>
      <sheetName val="BOQ"/>
      <sheetName val="Details"/>
      <sheetName val="REFNCOMPARE"/>
      <sheetName val="Colour Hierarchy"/>
      <sheetName val="LookupRanges"/>
      <sheetName val="Checks"/>
      <sheetName val="Timing"/>
      <sheetName val="Challan"/>
      <sheetName val="Parameters"/>
      <sheetName val="logsheet "/>
      <sheetName val="Customize Your Purchase Order"/>
      <sheetName val="COMI-M02"/>
      <sheetName val="Tax (Q)"/>
      <sheetName val="194C"/>
      <sheetName val="Checklist"/>
      <sheetName val="TB_Merged"/>
      <sheetName val="OEE"/>
      <sheetName val="Daywise"/>
      <sheetName val="Conditions"/>
      <sheetName val="Not Found recon"/>
      <sheetName val="Input Sheet"/>
      <sheetName val="FAR co Tangible"/>
      <sheetName val="Pulses"/>
      <sheetName val="Variables"/>
      <sheetName val="Allocate"/>
      <sheetName val="sep01"/>
      <sheetName val="IKB3"/>
      <sheetName val="DEG"/>
      <sheetName val="ifcw"/>
      <sheetName val="Main B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 - not for distribution"/>
      <sheetName val="cr-board"/>
      <sheetName val="a-3"/>
      <sheetName val="a-3 internal"/>
      <sheetName val="a-4"/>
      <sheetName val="a-5"/>
      <sheetName val="a-7"/>
      <sheetName val="graph PA"/>
      <sheetName val="gk 01-00"/>
      <sheetName val="gk 01-00 jwk"/>
      <sheetName val="gk 12-99"/>
      <sheetName val="gk 11-99"/>
      <sheetName val="gk 10-99"/>
      <sheetName val="gk 09-99 "/>
      <sheetName val="gk 08-99"/>
      <sheetName val="ptc"/>
      <sheetName val="gk-contr 05-00"/>
      <sheetName val="gk-contr 01-00"/>
      <sheetName val="gk-contr 12-99"/>
      <sheetName val="gk-contr 10-99"/>
      <sheetName val="x-rate"/>
      <sheetName val="bh-jdeg"/>
      <sheetName val="CR-SUPLY"/>
      <sheetName val="gk-contract 01-00"/>
      <sheetName val="gk-contract 12-99"/>
      <sheetName val="gk-contract 10-99"/>
      <sheetName val="cr-board special"/>
      <sheetName val="a-3 special"/>
      <sheetName val="a3-int. special"/>
      <sheetName val="a4-special"/>
      <sheetName val="a-5 special"/>
      <sheetName val="fee+int"/>
      <sheetName val="gk 09-99"/>
      <sheetName val="77S(O)"/>
      <sheetName val="cr_-_not_for_distribution"/>
      <sheetName val="a-3_internal"/>
      <sheetName val="graph_PA"/>
      <sheetName val="gk_01-00"/>
      <sheetName val="gk_01-00_jwk"/>
      <sheetName val="gk_12-99"/>
      <sheetName val="gk_11-99"/>
      <sheetName val="gk_10-99"/>
      <sheetName val="gk_09-99_"/>
      <sheetName val="gk_08-99"/>
      <sheetName val="gk-contr_05-00"/>
      <sheetName val="gk-contr_01-00"/>
      <sheetName val="gk-contr_12-99"/>
      <sheetName val="gk-contr_10-99"/>
      <sheetName val="gk-contract_01-00"/>
      <sheetName val="gk-contract_12-99"/>
      <sheetName val="gk-contract_10-99"/>
      <sheetName val="cr-board_special"/>
      <sheetName val="a-3_special"/>
      <sheetName val="a3-int__special"/>
      <sheetName val="a-5_special"/>
      <sheetName val="gk_09-99"/>
      <sheetName val="cr_-_not_for_distribution1"/>
      <sheetName val="a-3_internal1"/>
      <sheetName val="graph_PA1"/>
      <sheetName val="gk_01-001"/>
      <sheetName val="gk_01-00_jwk1"/>
      <sheetName val="gk_12-991"/>
      <sheetName val="gk_11-991"/>
      <sheetName val="gk_10-991"/>
      <sheetName val="gk_09-99_1"/>
      <sheetName val="gk_08-991"/>
      <sheetName val="gk-contr_05-001"/>
      <sheetName val="gk-contr_01-001"/>
      <sheetName val="gk-contr_12-991"/>
      <sheetName val="gk-contr_10-991"/>
      <sheetName val="gk-contract_01-001"/>
      <sheetName val="gk-contract_12-991"/>
      <sheetName val="gk-contract_10-991"/>
      <sheetName val="cr-board_special1"/>
      <sheetName val="a-3_special1"/>
      <sheetName val="a3-int__special1"/>
      <sheetName val="a-5_special1"/>
      <sheetName val="gk_09-991"/>
      <sheetName val="cr_-_not_for_distribution2"/>
      <sheetName val="a-3_internal2"/>
      <sheetName val="graph_PA2"/>
      <sheetName val="gk_01-002"/>
      <sheetName val="gk_01-00_jwk2"/>
      <sheetName val="gk_12-992"/>
      <sheetName val="gk_11-992"/>
      <sheetName val="gk_10-992"/>
      <sheetName val="gk_09-99_2"/>
      <sheetName val="gk_08-992"/>
      <sheetName val="gk-contr_05-002"/>
      <sheetName val="gk-contr_01-002"/>
      <sheetName val="gk-contr_12-992"/>
      <sheetName val="gk-contr_10-992"/>
      <sheetName val="gk-contract_01-002"/>
      <sheetName val="gk-contract_12-992"/>
      <sheetName val="gk-contract_10-992"/>
      <sheetName val="cr-board_special2"/>
      <sheetName val="a-3_special2"/>
      <sheetName val="a3-int__special2"/>
      <sheetName val="a-5_special2"/>
      <sheetName val="gk_09-992"/>
      <sheetName val="cr_-_not_for_distribution3"/>
      <sheetName val="a-3_internal3"/>
      <sheetName val="graph_PA3"/>
      <sheetName val="gk_01-003"/>
      <sheetName val="gk_01-00_jwk3"/>
      <sheetName val="gk_12-993"/>
      <sheetName val="gk_11-993"/>
      <sheetName val="gk_10-993"/>
      <sheetName val="gk_09-99_3"/>
      <sheetName val="gk_08-993"/>
      <sheetName val="gk-contr_05-003"/>
      <sheetName val="gk-contr_01-003"/>
      <sheetName val="gk-contr_12-993"/>
      <sheetName val="gk-contr_10-993"/>
      <sheetName val="gk-contract_01-003"/>
      <sheetName val="gk-contract_12-993"/>
      <sheetName val="gk-contract_10-993"/>
      <sheetName val="cr-board_special3"/>
      <sheetName val="a-3_special3"/>
      <sheetName val="a3-int__special3"/>
      <sheetName val="a-5_special3"/>
      <sheetName val="gk_09-993"/>
      <sheetName val="PGW-ACCOUNTS"/>
      <sheetName val="1612.01AN(7) - Niep Tds Summary"/>
      <sheetName val="BS"/>
      <sheetName val="1612_01AN(7)_-_Niep_Tds_Summary"/>
      <sheetName val="ASSAY-new"/>
      <sheetName val="1612_01AN(7)_-_Niep_Tds_Summar1"/>
      <sheetName val="1612_01AN(7)_-_Niep_Tds_Summar2"/>
      <sheetName val="a_4"/>
      <sheetName val="p&amp;l"/>
      <sheetName val="Scenarios"/>
      <sheetName val="x_rate"/>
      <sheetName val="Rev Working"/>
      <sheetName val="Sheet2"/>
      <sheetName val="1612_01AN(7)_-_Niep_Tds_Summar3"/>
      <sheetName val="Interest 30-11-01 not PA 7%"/>
      <sheetName val="Cons"/>
      <sheetName val="diffbetphy&amp;stock"/>
      <sheetName val="12"/>
      <sheetName val="15"/>
      <sheetName val="cr_-_not_for_distribution4"/>
      <sheetName val="a-3_internal4"/>
      <sheetName val="graph_PA4"/>
      <sheetName val="gk_01-004"/>
      <sheetName val="gk_01-00_jwk4"/>
      <sheetName val="gk_12-994"/>
      <sheetName val="gk_11-994"/>
      <sheetName val="gk_10-994"/>
      <sheetName val="gk_09-99_4"/>
      <sheetName val="gk_08-994"/>
      <sheetName val="gk-contr_05-004"/>
      <sheetName val="gk-contr_01-004"/>
      <sheetName val="gk-contr_12-994"/>
      <sheetName val="gk-contr_10-994"/>
      <sheetName val="gk-contract_01-004"/>
      <sheetName val="gk-contract_12-994"/>
      <sheetName val="gk-contract_10-994"/>
      <sheetName val="cr-board_special4"/>
      <sheetName val="a-3_special4"/>
      <sheetName val="a3-int__special4"/>
      <sheetName val="a-5_special4"/>
      <sheetName val="gk_09-994"/>
      <sheetName val="1612_01AN(7)_-_Niep_Tds_Summar4"/>
      <sheetName val="Rev_Working"/>
      <sheetName val="Interest_30-11-01_not_PA_7%"/>
      <sheetName val="Settings"/>
      <sheetName val="BALANCE SHEET"/>
      <sheetName val="CE"/>
      <sheetName val="cr_-_not_for_distribution5"/>
      <sheetName val="a-3_internal5"/>
      <sheetName val="graph_PA5"/>
      <sheetName val="gk_01-005"/>
      <sheetName val="gk_01-00_jwk5"/>
      <sheetName val="gk_12-995"/>
      <sheetName val="gk_11-995"/>
      <sheetName val="gk_10-995"/>
      <sheetName val="gk_09-99_5"/>
      <sheetName val="gk_08-995"/>
      <sheetName val="gk-contr_05-005"/>
      <sheetName val="gk-contr_01-005"/>
      <sheetName val="gk-contr_12-995"/>
      <sheetName val="gk-contr_10-995"/>
      <sheetName val="gk-contract_01-005"/>
      <sheetName val="gk-contract_12-995"/>
      <sheetName val="gk-contract_10-995"/>
      <sheetName val="cr-board_special5"/>
      <sheetName val="a-3_special5"/>
      <sheetName val="a3-int__special5"/>
      <sheetName val="a-5_special5"/>
      <sheetName val="gk_09-995"/>
      <sheetName val="1612_01AN(7)_-_Niep_Tds_Summar5"/>
      <sheetName val="Rev_Working1"/>
      <sheetName val="Interest_30-11-01_not_PA_7%1"/>
      <sheetName val="PL"/>
      <sheetName val="Jun 2012"/>
      <sheetName val="Clause 9"/>
      <sheetName val="sum"/>
      <sheetName val="Conditions"/>
      <sheetName val="DATA INPUT"/>
      <sheetName val="LANDED PRICE"/>
      <sheetName val="POLY"/>
      <sheetName val="API"/>
      <sheetName val="NCE"/>
      <sheetName val="EU"/>
      <sheetName val="Latam"/>
      <sheetName val="ROW"/>
      <sheetName val="Inputs"/>
      <sheetName val="Accounts"/>
      <sheetName val="BLK2"/>
      <sheetName val="BLK3"/>
      <sheetName val="INPUT SHEET"/>
      <sheetName val="RES-PLANNING"/>
      <sheetName val="radar"/>
      <sheetName val="E &amp; R"/>
      <sheetName val="summary"/>
      <sheetName val="310480 as on 311207"/>
      <sheetName val="310280 on 310307 (070607)"/>
      <sheetName val="Hyp-mstr"/>
      <sheetName val="Data Summary"/>
      <sheetName val="fcl"/>
      <sheetName val="Analysis"/>
      <sheetName val="SLTTRPSU"/>
      <sheetName val="Int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refreshError="1"/>
      <sheetData sheetId="167" refreshError="1"/>
      <sheetData sheetId="168" refreshError="1"/>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deduction"/>
      <sheetName val="addition"/>
      <sheetName val="fcl"/>
      <sheetName val="Opinion"/>
      <sheetName val="List of Vendors"/>
      <sheetName val="Assumptions"/>
      <sheetName val="16.IC-RP list"/>
      <sheetName val="Sheet BAL'N SHEET"/>
      <sheetName val="Chiet tinh"/>
      <sheetName val="HBI NCD"/>
      <sheetName val="Cover sheet"/>
      <sheetName val="REGMAIN"/>
      <sheetName val="Data"/>
      <sheetName val="MAINBS1"/>
      <sheetName val="Interest 30-11-01 not PA 7%"/>
      <sheetName val="x-rate"/>
      <sheetName val="Mar 05 tb"/>
      <sheetName val="Sheet3"/>
      <sheetName val="P&amp;LSC"/>
      <sheetName val="TB-9-01"/>
      <sheetName val="Params"/>
      <sheetName val="Labour"/>
      <sheetName val="Material"/>
      <sheetName val="Plant &amp;  Machinery"/>
      <sheetName val="Sheet1"/>
      <sheetName val="海外WORK"/>
      <sheetName val="Control Panel"/>
      <sheetName val="Projectwise"/>
      <sheetName val="SALREGJUNEFIXED"/>
      <sheetName val="FROM2"/>
      <sheetName val="KT19900"/>
      <sheetName val="Ins Erection"/>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IV "/>
      <sheetName val="51-CAPITAL 2003-04"/>
      <sheetName val="CREDIT NOTE - Q3 (2)"/>
      <sheetName val="Trial Balance - Dec 2005 AUDIT"/>
      <sheetName val="EPS 2001-2002"/>
      <sheetName val="EPS 2002-2003"/>
      <sheetName val="FIXED ASSETS SCH IV -june 2005 "/>
      <sheetName val="FIXED ASSETS SCH IV -Sept 2005 "/>
      <sheetName val="DTA _ MAT SEP 05"/>
      <sheetName val="FIXED ASSETS SCH IV - MARCH 06"/>
      <sheetName val="CREDIT NOTE - Q3"/>
      <sheetName val="MISC"/>
      <sheetName val="F. ASSTS  DEP SCH -IT  2004-05 "/>
      <sheetName val="CLARF"/>
      <sheetName val="Notes on Accts MAR 06- Point 14"/>
      <sheetName val="Notes MAR 06- Point 14 (cont)"/>
      <sheetName val="RELATED PARTY INFO"/>
      <sheetName val=" Geo Segment 2005-06"/>
      <sheetName val="Segment P&amp;L MAR06 WKGS"/>
      <sheetName val="Segment BS MAR06 WKGS"/>
      <sheetName val="Interest Sum - MAR 06 GL RECO "/>
      <sheetName val=" Related Party  MAR 2006 "/>
      <sheetName val="Notes on Accts - Point 23"/>
      <sheetName val="Sheet1"/>
      <sheetName val="Trial Balance - MARCH 2006"/>
      <sheetName val="P&amp;L  - Mar 2006"/>
      <sheetName val="Cash Flow  2005_2006"/>
      <sheetName val="Balance Sheet - March 2006"/>
      <sheetName val="IT DEP 0506 "/>
      <sheetName val="DTA _ MAT MAR 06 "/>
      <sheetName val="Cash Flow  DEC 2005 "/>
      <sheetName val=" Geo Segment DEC 2005"/>
      <sheetName val="POINT NO. 14  Geo Segment 0405"/>
      <sheetName val="POINT NO.15 Related Party 0405 "/>
      <sheetName val="Cash Flow  2004_2005"/>
      <sheetName val=" Related Party "/>
      <sheetName val=" Related Party  (2)"/>
      <sheetName val="EPS 2"/>
      <sheetName val="EPS 1"/>
      <sheetName val="Sheet4"/>
      <sheetName val="CASH&amp;BANK"/>
      <sheetName val="DEBTORS"/>
      <sheetName val="INVENTORIES"/>
      <sheetName val="LOANS &amp; ADV"/>
      <sheetName val="Sheet3"/>
      <sheetName val="HBI NCD"/>
      <sheetName val="Links"/>
      <sheetName val="A 3.7"/>
      <sheetName val="C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H38"/>
  <sheetViews>
    <sheetView showGridLines="0" view="pageBreakPreview" zoomScale="80" zoomScaleNormal="100" zoomScaleSheetLayoutView="80" workbookViewId="0">
      <selection activeCell="M26" sqref="M26"/>
    </sheetView>
  </sheetViews>
  <sheetFormatPr defaultColWidth="9.140625" defaultRowHeight="12.75" x14ac:dyDescent="0.2"/>
  <cols>
    <col min="1" max="1" width="9.140625" style="145"/>
    <col min="2" max="2" width="7.42578125" style="145" customWidth="1"/>
    <col min="3" max="3" width="9.140625" style="145" hidden="1" customWidth="1"/>
    <col min="4" max="4" width="50.28515625" style="145" customWidth="1"/>
    <col min="5" max="5" width="15.140625" style="145" bestFit="1" customWidth="1"/>
    <col min="6" max="16384" width="9.140625" style="145"/>
  </cols>
  <sheetData>
    <row r="3" spans="1:8" ht="32.25" customHeight="1" x14ac:dyDescent="0.2">
      <c r="D3" s="153" t="s">
        <v>0</v>
      </c>
      <c r="F3" s="4"/>
    </row>
    <row r="4" spans="1:8" ht="15" x14ac:dyDescent="0.2">
      <c r="D4" s="1" t="s">
        <v>1</v>
      </c>
      <c r="F4" s="4"/>
    </row>
    <row r="5" spans="1:8" ht="15.75" x14ac:dyDescent="0.25">
      <c r="E5" s="144"/>
    </row>
    <row r="6" spans="1:8" ht="15" x14ac:dyDescent="0.25">
      <c r="A6" s="146"/>
      <c r="B6" s="146"/>
      <c r="C6" s="146"/>
      <c r="D6" s="146"/>
      <c r="E6" s="147"/>
      <c r="F6" s="146"/>
      <c r="G6" s="146"/>
      <c r="H6" s="146"/>
    </row>
    <row r="7" spans="1:8" ht="48" customHeight="1" x14ac:dyDescent="0.25">
      <c r="A7" s="146"/>
      <c r="B7" s="149" t="s">
        <v>2</v>
      </c>
      <c r="C7" s="149"/>
      <c r="D7" s="149" t="s">
        <v>3</v>
      </c>
      <c r="E7" s="149" t="s">
        <v>4</v>
      </c>
      <c r="F7" s="146"/>
      <c r="G7" s="146"/>
      <c r="H7" s="146"/>
    </row>
    <row r="8" spans="1:8" ht="15" x14ac:dyDescent="0.25">
      <c r="A8" s="146"/>
      <c r="B8" s="148">
        <v>1</v>
      </c>
      <c r="C8" s="148"/>
      <c r="D8" s="148" t="s">
        <v>5</v>
      </c>
      <c r="E8" s="150" t="s">
        <v>6</v>
      </c>
      <c r="F8" s="146"/>
      <c r="G8" s="146"/>
      <c r="H8" s="146"/>
    </row>
    <row r="9" spans="1:8" ht="15" x14ac:dyDescent="0.25">
      <c r="A9" s="146"/>
      <c r="B9" s="148">
        <v>2</v>
      </c>
      <c r="C9" s="148"/>
      <c r="D9" s="148" t="s">
        <v>7</v>
      </c>
      <c r="E9" s="150" t="s">
        <v>8</v>
      </c>
      <c r="F9" s="146"/>
      <c r="G9" s="146"/>
      <c r="H9" s="146"/>
    </row>
    <row r="10" spans="1:8" ht="15" x14ac:dyDescent="0.25">
      <c r="A10" s="146"/>
      <c r="B10" s="148">
        <v>3</v>
      </c>
      <c r="C10" s="148"/>
      <c r="D10" s="148" t="s">
        <v>9</v>
      </c>
      <c r="E10" s="150" t="s">
        <v>10</v>
      </c>
      <c r="F10" s="146"/>
      <c r="G10" s="146"/>
      <c r="H10" s="146"/>
    </row>
    <row r="11" spans="1:8" ht="15" x14ac:dyDescent="0.25">
      <c r="A11" s="146"/>
      <c r="B11" s="148">
        <v>4</v>
      </c>
      <c r="C11" s="148"/>
      <c r="D11" s="148" t="s">
        <v>11</v>
      </c>
      <c r="E11" s="150" t="s">
        <v>12</v>
      </c>
      <c r="F11" s="146"/>
      <c r="G11" s="146"/>
      <c r="H11" s="146"/>
    </row>
    <row r="12" spans="1:8" ht="15" x14ac:dyDescent="0.25">
      <c r="A12" s="146"/>
      <c r="B12" s="148">
        <v>5</v>
      </c>
      <c r="C12" s="148"/>
      <c r="D12" s="148" t="s">
        <v>13</v>
      </c>
      <c r="E12" s="150" t="s">
        <v>14</v>
      </c>
      <c r="F12" s="146"/>
      <c r="G12" s="146"/>
      <c r="H12" s="146"/>
    </row>
    <row r="13" spans="1:8" ht="15" x14ac:dyDescent="0.25">
      <c r="A13" s="146"/>
      <c r="B13" s="148">
        <v>6</v>
      </c>
      <c r="C13" s="148"/>
      <c r="D13" s="148" t="s">
        <v>15</v>
      </c>
      <c r="E13" s="150" t="s">
        <v>16</v>
      </c>
      <c r="F13" s="146"/>
      <c r="G13" s="146"/>
      <c r="H13" s="146"/>
    </row>
    <row r="14" spans="1:8" ht="15" x14ac:dyDescent="0.25">
      <c r="A14" s="146"/>
      <c r="B14" s="148">
        <v>7</v>
      </c>
      <c r="C14" s="148"/>
      <c r="D14" s="148" t="s">
        <v>17</v>
      </c>
      <c r="E14" s="150" t="s">
        <v>18</v>
      </c>
      <c r="F14" s="146"/>
      <c r="G14" s="146"/>
      <c r="H14" s="146"/>
    </row>
    <row r="15" spans="1:8" ht="15" x14ac:dyDescent="0.25">
      <c r="A15" s="146"/>
      <c r="B15" s="148">
        <v>8</v>
      </c>
      <c r="C15" s="148"/>
      <c r="D15" s="148" t="s">
        <v>19</v>
      </c>
      <c r="E15" s="150" t="s">
        <v>20</v>
      </c>
      <c r="F15" s="146"/>
      <c r="G15" s="146"/>
      <c r="H15" s="146"/>
    </row>
    <row r="16" spans="1:8" ht="15" x14ac:dyDescent="0.25">
      <c r="A16" s="146"/>
      <c r="B16" s="148">
        <v>9</v>
      </c>
      <c r="C16" s="148"/>
      <c r="D16" s="148" t="s">
        <v>21</v>
      </c>
      <c r="E16" s="150" t="s">
        <v>22</v>
      </c>
      <c r="F16" s="146"/>
      <c r="G16" s="146"/>
      <c r="H16" s="146"/>
    </row>
    <row r="17" spans="1:8" ht="15" x14ac:dyDescent="0.25">
      <c r="A17" s="146"/>
      <c r="B17" s="148">
        <v>10</v>
      </c>
      <c r="C17" s="148"/>
      <c r="D17" s="148" t="s">
        <v>23</v>
      </c>
      <c r="E17" s="150" t="s">
        <v>24</v>
      </c>
      <c r="F17" s="146"/>
      <c r="G17" s="146"/>
      <c r="H17" s="146"/>
    </row>
    <row r="18" spans="1:8" ht="15" x14ac:dyDescent="0.25">
      <c r="A18" s="146"/>
      <c r="B18" s="148">
        <v>11</v>
      </c>
      <c r="C18" s="148"/>
      <c r="D18" s="148" t="s">
        <v>25</v>
      </c>
      <c r="E18" s="150" t="s">
        <v>26</v>
      </c>
      <c r="F18" s="146"/>
      <c r="G18" s="146"/>
      <c r="H18" s="146"/>
    </row>
    <row r="19" spans="1:8" ht="15" x14ac:dyDescent="0.25">
      <c r="A19" s="146"/>
      <c r="B19" s="148">
        <v>12</v>
      </c>
      <c r="C19" s="148"/>
      <c r="D19" s="148" t="s">
        <v>27</v>
      </c>
      <c r="E19" s="150" t="s">
        <v>28</v>
      </c>
      <c r="F19" s="146"/>
      <c r="G19" s="146"/>
      <c r="H19" s="146"/>
    </row>
    <row r="20" spans="1:8" ht="15" x14ac:dyDescent="0.25">
      <c r="A20" s="146"/>
      <c r="B20" s="148">
        <v>13</v>
      </c>
      <c r="C20" s="148"/>
      <c r="D20" s="148" t="s">
        <v>29</v>
      </c>
      <c r="E20" s="150" t="s">
        <v>30</v>
      </c>
      <c r="F20" s="146"/>
      <c r="G20" s="146"/>
      <c r="H20" s="146"/>
    </row>
    <row r="21" spans="1:8" ht="15" x14ac:dyDescent="0.25">
      <c r="A21" s="146"/>
      <c r="B21" s="148">
        <v>14</v>
      </c>
      <c r="C21" s="148"/>
      <c r="D21" s="148" t="s">
        <v>31</v>
      </c>
      <c r="E21" s="150" t="s">
        <v>32</v>
      </c>
      <c r="F21" s="146"/>
      <c r="G21" s="146"/>
      <c r="H21" s="146"/>
    </row>
    <row r="22" spans="1:8" ht="15" x14ac:dyDescent="0.25">
      <c r="A22" s="146"/>
      <c r="B22" s="148">
        <v>15</v>
      </c>
      <c r="C22" s="148"/>
      <c r="D22" s="148" t="s">
        <v>33</v>
      </c>
      <c r="E22" s="150" t="s">
        <v>34</v>
      </c>
      <c r="F22" s="146"/>
      <c r="G22" s="146"/>
      <c r="H22" s="146"/>
    </row>
    <row r="23" spans="1:8" ht="15" x14ac:dyDescent="0.25">
      <c r="A23" s="146"/>
      <c r="B23" s="148">
        <v>16</v>
      </c>
      <c r="C23" s="148"/>
      <c r="D23" s="148" t="s">
        <v>35</v>
      </c>
      <c r="E23" s="150" t="s">
        <v>36</v>
      </c>
      <c r="F23" s="146"/>
      <c r="G23" s="146"/>
      <c r="H23" s="146"/>
    </row>
    <row r="24" spans="1:8" ht="15" x14ac:dyDescent="0.25">
      <c r="A24" s="146"/>
      <c r="B24" s="148">
        <v>17</v>
      </c>
      <c r="C24" s="148"/>
      <c r="D24" s="148" t="s">
        <v>37</v>
      </c>
      <c r="E24" s="150" t="s">
        <v>38</v>
      </c>
      <c r="F24" s="146"/>
      <c r="G24" s="146"/>
      <c r="H24" s="146"/>
    </row>
    <row r="25" spans="1:8" ht="15" x14ac:dyDescent="0.25">
      <c r="A25" s="146"/>
      <c r="B25" s="148">
        <v>18</v>
      </c>
      <c r="C25" s="148"/>
      <c r="D25" s="148" t="s">
        <v>39</v>
      </c>
      <c r="E25" s="150" t="s">
        <v>40</v>
      </c>
      <c r="F25" s="146"/>
      <c r="G25" s="146"/>
      <c r="H25" s="146"/>
    </row>
    <row r="26" spans="1:8" ht="15" x14ac:dyDescent="0.25">
      <c r="A26" s="146"/>
      <c r="B26" s="148">
        <v>19</v>
      </c>
      <c r="C26" s="148"/>
      <c r="D26" s="148" t="s">
        <v>41</v>
      </c>
      <c r="E26" s="150" t="s">
        <v>42</v>
      </c>
      <c r="F26" s="146"/>
      <c r="G26" s="146"/>
      <c r="H26" s="146"/>
    </row>
    <row r="27" spans="1:8" ht="15" x14ac:dyDescent="0.25">
      <c r="A27" s="146"/>
      <c r="B27" s="148">
        <v>20</v>
      </c>
      <c r="C27" s="148"/>
      <c r="D27" s="148" t="s">
        <v>43</v>
      </c>
      <c r="E27" s="150" t="s">
        <v>44</v>
      </c>
      <c r="F27" s="146"/>
      <c r="G27" s="146"/>
      <c r="H27" s="146"/>
    </row>
    <row r="28" spans="1:8" ht="15" x14ac:dyDescent="0.25">
      <c r="A28" s="146"/>
      <c r="B28" s="148">
        <v>21</v>
      </c>
      <c r="C28" s="148"/>
      <c r="D28" s="148" t="s">
        <v>45</v>
      </c>
      <c r="E28" s="150" t="s">
        <v>46</v>
      </c>
      <c r="F28" s="146"/>
      <c r="G28" s="146"/>
      <c r="H28" s="146"/>
    </row>
    <row r="29" spans="1:8" ht="15" x14ac:dyDescent="0.25">
      <c r="A29" s="146"/>
      <c r="B29" s="148">
        <v>22</v>
      </c>
      <c r="C29" s="148"/>
      <c r="D29" s="148" t="s">
        <v>47</v>
      </c>
      <c r="E29" s="150" t="s">
        <v>48</v>
      </c>
      <c r="F29" s="146"/>
      <c r="G29" s="146"/>
      <c r="H29" s="146"/>
    </row>
    <row r="30" spans="1:8" ht="15" x14ac:dyDescent="0.25">
      <c r="A30" s="146"/>
      <c r="B30" s="148">
        <v>23</v>
      </c>
      <c r="C30" s="148"/>
      <c r="D30" s="148" t="s">
        <v>49</v>
      </c>
      <c r="E30" s="150" t="s">
        <v>50</v>
      </c>
      <c r="F30" s="146"/>
      <c r="G30" s="146"/>
      <c r="H30" s="146"/>
    </row>
    <row r="31" spans="1:8" ht="15" x14ac:dyDescent="0.25">
      <c r="A31" s="146"/>
      <c r="B31" s="148">
        <v>24</v>
      </c>
      <c r="C31" s="148"/>
      <c r="D31" s="148" t="s">
        <v>51</v>
      </c>
      <c r="E31" s="150" t="s">
        <v>52</v>
      </c>
      <c r="F31" s="146"/>
      <c r="G31" s="146"/>
      <c r="H31" s="146"/>
    </row>
    <row r="32" spans="1:8" ht="15" x14ac:dyDescent="0.25">
      <c r="A32" s="146"/>
      <c r="B32" s="148">
        <v>25</v>
      </c>
      <c r="C32" s="148"/>
      <c r="D32" s="148" t="s">
        <v>53</v>
      </c>
      <c r="E32" s="150" t="s">
        <v>54</v>
      </c>
      <c r="F32" s="146"/>
      <c r="G32" s="146"/>
      <c r="H32" s="146"/>
    </row>
    <row r="33" spans="1:8" ht="15" x14ac:dyDescent="0.25">
      <c r="A33" s="146"/>
      <c r="B33" s="148">
        <v>26</v>
      </c>
      <c r="C33" s="148"/>
      <c r="D33" s="148" t="s">
        <v>55</v>
      </c>
      <c r="E33" s="150" t="s">
        <v>56</v>
      </c>
      <c r="F33" s="146"/>
      <c r="G33" s="146"/>
      <c r="H33" s="146"/>
    </row>
    <row r="34" spans="1:8" ht="15" x14ac:dyDescent="0.25">
      <c r="A34" s="146"/>
      <c r="B34" s="148">
        <v>27</v>
      </c>
      <c r="C34" s="148"/>
      <c r="D34" s="148" t="s">
        <v>57</v>
      </c>
      <c r="E34" s="150" t="s">
        <v>58</v>
      </c>
      <c r="F34" s="146"/>
      <c r="G34" s="146"/>
      <c r="H34" s="146"/>
    </row>
    <row r="35" spans="1:8" ht="15" x14ac:dyDescent="0.25">
      <c r="A35" s="146"/>
      <c r="B35" s="146"/>
      <c r="C35" s="146"/>
      <c r="D35" s="146"/>
      <c r="E35" s="146"/>
      <c r="F35" s="146"/>
      <c r="G35" s="146"/>
      <c r="H35" s="146"/>
    </row>
    <row r="36" spans="1:8" ht="15" x14ac:dyDescent="0.25">
      <c r="A36" s="146"/>
      <c r="B36" s="146"/>
      <c r="C36" s="146"/>
      <c r="D36" s="146"/>
      <c r="E36" s="146"/>
      <c r="F36" s="146"/>
      <c r="G36" s="146"/>
      <c r="H36" s="146"/>
    </row>
    <row r="37" spans="1:8" ht="15" x14ac:dyDescent="0.25">
      <c r="A37" s="146"/>
      <c r="B37" s="146"/>
      <c r="C37" s="146"/>
      <c r="D37" s="146"/>
      <c r="E37" s="146"/>
      <c r="F37" s="146"/>
      <c r="G37" s="146"/>
      <c r="H37" s="146"/>
    </row>
    <row r="38" spans="1:8" ht="15" x14ac:dyDescent="0.25">
      <c r="A38" s="146"/>
      <c r="B38" s="146"/>
      <c r="C38" s="146"/>
      <c r="D38" s="146"/>
      <c r="E38" s="146"/>
      <c r="F38" s="146"/>
      <c r="G38" s="146"/>
      <c r="H38" s="146"/>
    </row>
  </sheetData>
  <hyperlinks>
    <hyperlink ref="E8" location="'Balance sheet'!A1" display="'Balance sheet'!A1"/>
    <hyperlink ref="E9" location="'Profit loss'!A1" display="'Profit loss'!A1"/>
    <hyperlink ref="E10" location="'CashFlow'!A1" display="'CashFlow'!A1"/>
    <hyperlink ref="E11" location="'3'!A1" display="'3'!A1"/>
    <hyperlink ref="E12" location="'4'!A1" display="'4'!A1"/>
    <hyperlink ref="E13" location="'5.1'!A1" display="'5.1'!A1"/>
    <hyperlink ref="E14" location="'5.2'!A1" display="'5.2'!A1"/>
    <hyperlink ref="E15" location="'6 &amp; 7'!A1" display="'6 &amp; 7'!A1"/>
    <hyperlink ref="E16" location="'8'!A1" display="'8'!A1"/>
    <hyperlink ref="E17" location="'9'!A1" display="'9'!A1"/>
    <hyperlink ref="E18" location="'10'!A1" display="'10'!A1"/>
    <hyperlink ref="E19" location="'11'!A1" display="'11'!A1"/>
    <hyperlink ref="E20" location="'12'!A1" display="'12'!A1"/>
    <hyperlink ref="E21" location="'13'!A1" display="'13'!A1"/>
    <hyperlink ref="E22" location="'14'!A1" display="'14'!A1"/>
    <hyperlink ref="E23" location="'15'!A1" display="'15'!A1"/>
    <hyperlink ref="E24" location="'16 &amp; 17'!A1" display="'16 &amp; 17'!A1"/>
    <hyperlink ref="E25" location="'18'!A1" display="'18'!A1"/>
    <hyperlink ref="E26" location="'19'!A1" display="'19'!A1"/>
    <hyperlink ref="E27" location="'20 &amp; 21'!A1" display="'20 &amp; 21'!A1"/>
    <hyperlink ref="E28" location="'22 &amp; 22.1'!A1" display="'22 &amp; 22.1'!A1"/>
    <hyperlink ref="E29" location="'23'!A1" display="'23'!A1"/>
    <hyperlink ref="E30" location="'24 &amp; 25'!A1" display="'24 &amp; 25'!A1"/>
    <hyperlink ref="E31" location="'26'!A1" display="'26'!A1"/>
    <hyperlink ref="E32" location="'27'!A1" display="'27'!A1"/>
    <hyperlink ref="E33" location="'27,28,29'!A1" display="'27,28,29'!A1"/>
    <hyperlink ref="E34" location="'30'!A1" display="'30'!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G58"/>
  <sheetViews>
    <sheetView showGridLines="0" view="pageBreakPreview" zoomScaleSheetLayoutView="100" workbookViewId="0">
      <selection activeCell="F33" sqref="F33"/>
    </sheetView>
  </sheetViews>
  <sheetFormatPr defaultColWidth="11.85546875" defaultRowHeight="15" x14ac:dyDescent="0.2"/>
  <cols>
    <col min="1" max="1" width="7.42578125" style="3" bestFit="1" customWidth="1"/>
    <col min="2" max="2" width="39.85546875" style="3" customWidth="1"/>
    <col min="3" max="3" width="14.7109375" style="3" customWidth="1"/>
    <col min="4" max="4" width="14.28515625" style="3" customWidth="1"/>
    <col min="5" max="5" width="24" style="82" customWidth="1"/>
    <col min="6" max="6" width="26.140625" style="83" customWidth="1"/>
    <col min="7" max="7" width="25.85546875" style="3" customWidth="1"/>
    <col min="8" max="8" width="18.42578125" style="3" bestFit="1" customWidth="1"/>
    <col min="9" max="10" width="0" style="3" hidden="1" customWidth="1"/>
    <col min="11" max="16384" width="11.85546875" style="3"/>
  </cols>
  <sheetData>
    <row r="2" spans="1:7" x14ac:dyDescent="0.2">
      <c r="B2" s="1643" t="s">
        <v>0</v>
      </c>
      <c r="C2" s="1643"/>
      <c r="D2" s="1643"/>
      <c r="E2" s="1643"/>
      <c r="F2" s="1643"/>
    </row>
    <row r="3" spans="1:7" x14ac:dyDescent="0.2">
      <c r="C3" s="1" t="s">
        <v>1</v>
      </c>
    </row>
    <row r="5" spans="1:7" x14ac:dyDescent="0.2">
      <c r="A5" s="1640" t="s">
        <v>403</v>
      </c>
      <c r="B5" s="1640"/>
      <c r="C5" s="1640"/>
      <c r="D5" s="1640"/>
      <c r="E5" s="1640"/>
      <c r="F5" s="1640"/>
    </row>
    <row r="6" spans="1:7" x14ac:dyDescent="0.2">
      <c r="A6" s="49"/>
      <c r="B6" s="49"/>
      <c r="C6" s="49"/>
      <c r="D6" s="49"/>
      <c r="E6" s="49"/>
      <c r="F6" s="49" t="s">
        <v>60</v>
      </c>
      <c r="G6" s="5" t="s">
        <v>246</v>
      </c>
    </row>
    <row r="7" spans="1:7" ht="28.5" x14ac:dyDescent="0.2">
      <c r="A7" s="1642" t="s">
        <v>62</v>
      </c>
      <c r="B7" s="1642" t="s">
        <v>63</v>
      </c>
      <c r="C7" s="1642" t="s">
        <v>247</v>
      </c>
      <c r="D7" s="1642" t="s">
        <v>248</v>
      </c>
      <c r="E7" s="1642" t="s">
        <v>404</v>
      </c>
      <c r="F7" s="80" t="s">
        <v>65</v>
      </c>
      <c r="G7" s="80" t="s">
        <v>66</v>
      </c>
    </row>
    <row r="8" spans="1:7" x14ac:dyDescent="0.2">
      <c r="A8" s="1642"/>
      <c r="B8" s="1642"/>
      <c r="C8" s="1642"/>
      <c r="D8" s="1642"/>
      <c r="E8" s="1642"/>
      <c r="F8" s="6" t="s">
        <v>223</v>
      </c>
      <c r="G8" s="6" t="s">
        <v>223</v>
      </c>
    </row>
    <row r="9" spans="1:7" x14ac:dyDescent="0.2">
      <c r="A9" s="42">
        <v>1</v>
      </c>
      <c r="B9" s="88" t="s">
        <v>405</v>
      </c>
      <c r="C9" s="40"/>
      <c r="D9" s="40"/>
      <c r="E9" s="26"/>
      <c r="F9" s="26"/>
      <c r="G9" s="26"/>
    </row>
    <row r="10" spans="1:7" x14ac:dyDescent="0.2">
      <c r="A10" s="87"/>
      <c r="B10" s="1541" t="s">
        <v>406</v>
      </c>
      <c r="C10" s="89"/>
      <c r="D10" s="90"/>
      <c r="E10" s="71" t="s">
        <v>407</v>
      </c>
      <c r="F10" s="1600">
        <v>2603.2399999999998</v>
      </c>
      <c r="G10" s="1600">
        <v>2391.13</v>
      </c>
    </row>
    <row r="11" spans="1:7" x14ac:dyDescent="0.2">
      <c r="A11" s="87"/>
      <c r="B11" s="1623" t="s">
        <v>408</v>
      </c>
      <c r="D11" s="90"/>
      <c r="E11" s="1623" t="s">
        <v>409</v>
      </c>
      <c r="F11" s="1600">
        <v>0</v>
      </c>
      <c r="G11" s="1600">
        <v>738.08</v>
      </c>
    </row>
    <row r="12" spans="1:7" x14ac:dyDescent="0.2">
      <c r="A12" s="87"/>
      <c r="B12" s="1541" t="s">
        <v>410</v>
      </c>
      <c r="C12" s="89"/>
      <c r="D12" s="90"/>
      <c r="E12" s="71" t="s">
        <v>411</v>
      </c>
      <c r="F12" s="1600">
        <v>2931.8</v>
      </c>
      <c r="G12" s="1600">
        <v>2383.4899999999998</v>
      </c>
    </row>
    <row r="13" spans="1:7" x14ac:dyDescent="0.2">
      <c r="A13" s="87"/>
      <c r="B13" s="1541" t="s">
        <v>412</v>
      </c>
      <c r="C13" s="89"/>
      <c r="D13" s="90"/>
      <c r="E13" s="71" t="s">
        <v>413</v>
      </c>
      <c r="F13" s="1600">
        <v>908.99978729999998</v>
      </c>
      <c r="G13" s="1600">
        <v>908.99975859999995</v>
      </c>
    </row>
    <row r="14" spans="1:7" x14ac:dyDescent="0.2">
      <c r="A14" s="87"/>
      <c r="B14" s="1541" t="s">
        <v>414</v>
      </c>
      <c r="C14" s="89"/>
      <c r="D14" s="90"/>
      <c r="E14" s="71" t="s">
        <v>415</v>
      </c>
      <c r="F14" s="1600">
        <v>340.47577946300004</v>
      </c>
      <c r="G14" s="1600">
        <v>342.46788147199999</v>
      </c>
    </row>
    <row r="15" spans="1:7" x14ac:dyDescent="0.2">
      <c r="A15" s="87"/>
      <c r="B15" s="1541" t="s">
        <v>416</v>
      </c>
      <c r="C15" s="89"/>
      <c r="D15" s="90"/>
      <c r="E15" s="71" t="s">
        <v>417</v>
      </c>
      <c r="F15" s="1600">
        <v>1036.9997295000001</v>
      </c>
      <c r="G15" s="1600">
        <v>1036.8098093999999</v>
      </c>
    </row>
    <row r="16" spans="1:7" x14ac:dyDescent="0.2">
      <c r="A16" s="87"/>
      <c r="B16" s="1541" t="s">
        <v>418</v>
      </c>
      <c r="C16" s="89"/>
      <c r="D16" s="90"/>
      <c r="E16" s="71" t="s">
        <v>419</v>
      </c>
      <c r="F16" s="1600">
        <v>9.6951829510000014</v>
      </c>
      <c r="G16" s="1600">
        <v>6.9524773709999996</v>
      </c>
    </row>
    <row r="17" spans="1:7" x14ac:dyDescent="0.2">
      <c r="A17" s="87"/>
      <c r="B17" s="1541" t="s">
        <v>420</v>
      </c>
      <c r="C17" s="89"/>
      <c r="D17" s="90"/>
      <c r="E17" s="71" t="s">
        <v>421</v>
      </c>
      <c r="F17" s="1600">
        <v>0.264445608</v>
      </c>
      <c r="G17" s="1600">
        <v>1.4173910380000001</v>
      </c>
    </row>
    <row r="18" spans="1:7" x14ac:dyDescent="0.2">
      <c r="A18" s="87"/>
      <c r="B18" s="1541" t="s">
        <v>422</v>
      </c>
      <c r="C18" s="89"/>
      <c r="D18" s="90"/>
      <c r="E18" s="71" t="s">
        <v>423</v>
      </c>
      <c r="F18" s="1600">
        <v>-3.1658709999999998E-3</v>
      </c>
      <c r="G18" s="1600">
        <v>-3.2307709999999999E-3</v>
      </c>
    </row>
    <row r="19" spans="1:7" x14ac:dyDescent="0.2">
      <c r="A19" s="87"/>
      <c r="B19" s="1541" t="s">
        <v>424</v>
      </c>
      <c r="C19" s="89"/>
      <c r="D19" s="90"/>
      <c r="E19" s="71" t="s">
        <v>425</v>
      </c>
      <c r="F19" s="1600">
        <v>-3.6665582000000002E-2</v>
      </c>
      <c r="G19" s="1600">
        <v>-5.0881999999999998E-5</v>
      </c>
    </row>
    <row r="20" spans="1:7" x14ac:dyDescent="0.2">
      <c r="A20" s="87"/>
      <c r="B20" s="1541" t="s">
        <v>426</v>
      </c>
      <c r="C20" s="89"/>
      <c r="D20" s="90"/>
      <c r="E20" s="71" t="s">
        <v>427</v>
      </c>
      <c r="F20" s="1600">
        <v>-8.4433019999994308E-3</v>
      </c>
      <c r="G20" s="1600">
        <v>-0.21286395499999994</v>
      </c>
    </row>
    <row r="21" spans="1:7" x14ac:dyDescent="0.2">
      <c r="A21" s="87"/>
      <c r="B21" s="1541" t="s">
        <v>428</v>
      </c>
      <c r="C21" s="89"/>
      <c r="D21" s="90"/>
      <c r="E21" s="71" t="s">
        <v>429</v>
      </c>
      <c r="F21" s="1600">
        <v>583.95756135100009</v>
      </c>
      <c r="G21" s="1600">
        <v>-0.192970323</v>
      </c>
    </row>
    <row r="22" spans="1:7" x14ac:dyDescent="0.2">
      <c r="A22" s="87"/>
      <c r="B22" s="1563" t="s">
        <v>430</v>
      </c>
      <c r="C22" s="89"/>
      <c r="D22" s="90"/>
      <c r="E22" s="71" t="s">
        <v>431</v>
      </c>
      <c r="F22" s="1600">
        <v>14.943226171000003</v>
      </c>
      <c r="G22" s="1600">
        <v>0.78680639500000638</v>
      </c>
    </row>
    <row r="23" spans="1:7" x14ac:dyDescent="0.2">
      <c r="A23" s="87"/>
      <c r="B23" s="1552" t="s">
        <v>432</v>
      </c>
      <c r="C23" s="89"/>
      <c r="D23" s="90"/>
      <c r="E23" s="71">
        <v>50017</v>
      </c>
      <c r="F23" s="1600">
        <f>500+333.33+650</f>
        <v>1483.33</v>
      </c>
      <c r="G23" s="1600">
        <v>1000</v>
      </c>
    </row>
    <row r="24" spans="1:7" x14ac:dyDescent="0.2">
      <c r="A24" s="87"/>
      <c r="B24" s="1541" t="s">
        <v>408</v>
      </c>
      <c r="C24" s="89"/>
      <c r="D24" s="90"/>
      <c r="E24" s="71">
        <v>50002</v>
      </c>
      <c r="F24" s="1600">
        <v>687.49966649999999</v>
      </c>
      <c r="G24" s="1600">
        <v>623</v>
      </c>
    </row>
    <row r="25" spans="1:7" x14ac:dyDescent="0.2">
      <c r="A25" s="87"/>
      <c r="B25" s="1552" t="s">
        <v>433</v>
      </c>
      <c r="C25" s="89"/>
      <c r="D25" s="90"/>
      <c r="E25" s="71">
        <v>50008</v>
      </c>
      <c r="F25" s="1600">
        <f>525.3710954+2000+1000</f>
        <v>3525.3710953999998</v>
      </c>
      <c r="G25" s="1600">
        <f>876+3000</f>
        <v>3876</v>
      </c>
    </row>
    <row r="26" spans="1:7" x14ac:dyDescent="0.2">
      <c r="A26" s="87"/>
      <c r="B26" s="1552" t="s">
        <v>434</v>
      </c>
      <c r="C26" s="89"/>
      <c r="D26" s="90"/>
      <c r="E26" s="71">
        <v>50015</v>
      </c>
      <c r="F26" s="1600">
        <v>62.499998699999992</v>
      </c>
      <c r="G26" s="1600">
        <v>387.4999995</v>
      </c>
    </row>
    <row r="27" spans="1:7" x14ac:dyDescent="0.2">
      <c r="A27" s="87"/>
      <c r="B27" s="1552" t="s">
        <v>434</v>
      </c>
      <c r="C27" s="89"/>
      <c r="D27" s="90"/>
      <c r="E27" s="71">
        <v>50015</v>
      </c>
      <c r="F27" s="1600">
        <v>75</v>
      </c>
      <c r="G27" s="1600">
        <v>0</v>
      </c>
    </row>
    <row r="28" spans="1:7" x14ac:dyDescent="0.2">
      <c r="A28" s="87"/>
      <c r="B28" s="1623" t="s">
        <v>435</v>
      </c>
      <c r="C28" s="89"/>
      <c r="D28" s="90"/>
      <c r="E28" s="1623">
        <v>50006</v>
      </c>
      <c r="F28" s="1600">
        <v>0</v>
      </c>
      <c r="G28" s="1600">
        <v>10.7664083</v>
      </c>
    </row>
    <row r="29" spans="1:7" x14ac:dyDescent="0.2">
      <c r="A29" s="87"/>
      <c r="B29" s="1623" t="s">
        <v>436</v>
      </c>
      <c r="C29" s="89"/>
      <c r="D29" s="90"/>
      <c r="E29" s="1623">
        <v>50004</v>
      </c>
      <c r="F29" s="1600">
        <v>0</v>
      </c>
      <c r="G29" s="1600">
        <v>5.7363078999999999</v>
      </c>
    </row>
    <row r="30" spans="1:7" x14ac:dyDescent="0.2">
      <c r="A30" s="87"/>
      <c r="B30" s="88"/>
      <c r="C30" s="89"/>
      <c r="D30" s="90"/>
      <c r="E30" s="71"/>
      <c r="F30" s="1600"/>
      <c r="G30" s="1600"/>
    </row>
    <row r="31" spans="1:7" x14ac:dyDescent="0.2">
      <c r="A31" s="11"/>
      <c r="B31" s="21" t="s">
        <v>92</v>
      </c>
      <c r="C31" s="21"/>
      <c r="D31" s="21"/>
      <c r="E31" s="75"/>
      <c r="F31" s="1595">
        <f>SUM(F10:F30)</f>
        <v>14264.028198189</v>
      </c>
      <c r="G31" s="1595">
        <f>SUM(G10:G30)</f>
        <v>13712.727724044998</v>
      </c>
    </row>
    <row r="32" spans="1:7" x14ac:dyDescent="0.2">
      <c r="A32" s="10"/>
      <c r="B32" s="10" t="s">
        <v>437</v>
      </c>
      <c r="C32" s="10"/>
      <c r="D32" s="10"/>
      <c r="E32" s="75"/>
      <c r="F32" s="1592">
        <f>+'Balance Sheet and P&amp;L'!D296</f>
        <v>3008.6983286605678</v>
      </c>
      <c r="G32" s="1592">
        <f>+'Balance Sheet and P&amp;L'!E296</f>
        <v>3586.7015421791675</v>
      </c>
    </row>
    <row r="33" spans="1:7" x14ac:dyDescent="0.2">
      <c r="A33" s="10"/>
      <c r="B33" s="1590" t="s">
        <v>92</v>
      </c>
      <c r="C33" s="10"/>
      <c r="D33" s="10"/>
      <c r="E33" s="75"/>
      <c r="F33" s="1591">
        <f>+F31+F32</f>
        <v>17272.726526849568</v>
      </c>
      <c r="G33" s="1591">
        <f>+G31+G32</f>
        <v>17299.429266224164</v>
      </c>
    </row>
    <row r="36" spans="1:7" x14ac:dyDescent="0.2">
      <c r="A36" s="22" t="s">
        <v>243</v>
      </c>
      <c r="B36" s="3" t="s">
        <v>153</v>
      </c>
      <c r="F36" s="3"/>
    </row>
    <row r="37" spans="1:7" x14ac:dyDescent="0.2">
      <c r="A37" s="4"/>
    </row>
    <row r="38" spans="1:7" x14ac:dyDescent="0.2">
      <c r="A38" s="4"/>
      <c r="G38" s="4"/>
    </row>
    <row r="39" spans="1:7" x14ac:dyDescent="0.2">
      <c r="A39" s="4"/>
      <c r="G39" s="4"/>
    </row>
    <row r="40" spans="1:7" x14ac:dyDescent="0.2">
      <c r="A40" s="4"/>
      <c r="E40" s="84"/>
      <c r="F40" s="85"/>
    </row>
    <row r="41" spans="1:7" x14ac:dyDescent="0.2">
      <c r="A41" s="4"/>
      <c r="E41" s="86"/>
      <c r="F41" s="85"/>
    </row>
    <row r="42" spans="1:7" x14ac:dyDescent="0.2">
      <c r="A42" s="4"/>
      <c r="E42" s="84"/>
      <c r="F42" s="85"/>
    </row>
    <row r="44" spans="1:7" x14ac:dyDescent="0.2">
      <c r="B44" s="4"/>
      <c r="C44" s="4"/>
      <c r="D44" s="4"/>
    </row>
    <row r="48" spans="1:7" x14ac:dyDescent="0.2">
      <c r="A48" s="4"/>
    </row>
    <row r="49" spans="1:7" x14ac:dyDescent="0.2">
      <c r="A49" s="4"/>
      <c r="G49" s="4"/>
    </row>
    <row r="50" spans="1:7" x14ac:dyDescent="0.2">
      <c r="A50" s="4"/>
      <c r="G50" s="4"/>
    </row>
    <row r="51" spans="1:7" x14ac:dyDescent="0.2">
      <c r="A51" s="4"/>
      <c r="E51" s="86"/>
      <c r="F51" s="85"/>
    </row>
    <row r="52" spans="1:7" x14ac:dyDescent="0.2">
      <c r="A52" s="4"/>
      <c r="E52" s="86"/>
      <c r="F52" s="85"/>
    </row>
    <row r="53" spans="1:7" x14ac:dyDescent="0.2">
      <c r="A53" s="4"/>
      <c r="E53" s="86"/>
      <c r="F53" s="85"/>
    </row>
    <row r="54" spans="1:7" x14ac:dyDescent="0.2">
      <c r="A54" s="4"/>
      <c r="E54" s="84"/>
      <c r="F54" s="85"/>
    </row>
    <row r="55" spans="1:7" x14ac:dyDescent="0.2">
      <c r="E55" s="86"/>
      <c r="F55" s="85"/>
    </row>
    <row r="56" spans="1:7" x14ac:dyDescent="0.2">
      <c r="E56" s="84"/>
      <c r="F56" s="85"/>
    </row>
    <row r="57" spans="1:7" x14ac:dyDescent="0.2">
      <c r="E57" s="86"/>
      <c r="F57" s="85"/>
    </row>
    <row r="58" spans="1:7" x14ac:dyDescent="0.2">
      <c r="B58" s="4"/>
      <c r="C58" s="4"/>
      <c r="D58" s="4"/>
    </row>
  </sheetData>
  <mergeCells count="7">
    <mergeCell ref="B2:F2"/>
    <mergeCell ref="A5:F5"/>
    <mergeCell ref="A7:A8"/>
    <mergeCell ref="B7:B8"/>
    <mergeCell ref="E7:E8"/>
    <mergeCell ref="C7:C8"/>
    <mergeCell ref="D7:D8"/>
  </mergeCells>
  <printOptions horizontalCentered="1"/>
  <pageMargins left="0.78740157480314965" right="0.39370078740157483" top="0.78740157480314965" bottom="0.19685039370078741" header="0.31496062992125984" footer="0.31496062992125984"/>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2:H68"/>
  <sheetViews>
    <sheetView showGridLines="0" view="pageBreakPreview" zoomScale="80" zoomScaleSheetLayoutView="80" workbookViewId="0">
      <selection activeCell="D29" sqref="D29"/>
    </sheetView>
  </sheetViews>
  <sheetFormatPr defaultColWidth="11.85546875" defaultRowHeight="15" x14ac:dyDescent="0.2"/>
  <cols>
    <col min="1" max="1" width="8" style="3" customWidth="1"/>
    <col min="2" max="2" width="51.5703125" style="3" customWidth="1"/>
    <col min="3" max="3" width="14.28515625" style="82" bestFit="1" customWidth="1"/>
    <col min="4" max="4" width="30.140625" style="83" customWidth="1"/>
    <col min="5" max="5" width="30.140625" style="3" customWidth="1"/>
    <col min="6" max="6" width="18.42578125" style="3" bestFit="1" customWidth="1"/>
    <col min="7" max="7" width="19.28515625" style="3" customWidth="1"/>
    <col min="8" max="8" width="14.7109375" style="3" bestFit="1" customWidth="1"/>
    <col min="9" max="9" width="13.85546875" style="3" bestFit="1" customWidth="1"/>
    <col min="10" max="10" width="12.42578125" style="3" bestFit="1" customWidth="1"/>
    <col min="11" max="16384" width="11.85546875" style="3"/>
  </cols>
  <sheetData>
    <row r="2" spans="1:8" x14ac:dyDescent="0.2">
      <c r="A2" s="1643" t="s">
        <v>0</v>
      </c>
      <c r="B2" s="1643"/>
      <c r="C2" s="1643"/>
      <c r="D2" s="1643"/>
      <c r="E2" s="1643"/>
    </row>
    <row r="3" spans="1:8" x14ac:dyDescent="0.2">
      <c r="C3" s="1" t="s">
        <v>1</v>
      </c>
    </row>
    <row r="5" spans="1:8" x14ac:dyDescent="0.2">
      <c r="A5" s="49"/>
      <c r="B5" s="5"/>
      <c r="C5" s="1641"/>
      <c r="D5" s="1641"/>
      <c r="E5" s="1641"/>
    </row>
    <row r="6" spans="1:8" x14ac:dyDescent="0.2">
      <c r="A6" s="1640" t="s">
        <v>438</v>
      </c>
      <c r="B6" s="1640"/>
      <c r="C6" s="1640"/>
      <c r="D6" s="1640"/>
      <c r="E6" s="1640"/>
    </row>
    <row r="7" spans="1:8" x14ac:dyDescent="0.2">
      <c r="A7" s="49"/>
      <c r="B7" s="49"/>
      <c r="C7" s="49"/>
      <c r="D7" s="49"/>
      <c r="E7" s="5"/>
    </row>
    <row r="8" spans="1:8" ht="28.5" x14ac:dyDescent="0.2">
      <c r="A8" s="1642" t="s">
        <v>62</v>
      </c>
      <c r="B8" s="1642" t="s">
        <v>63</v>
      </c>
      <c r="C8" s="1642" t="s">
        <v>222</v>
      </c>
      <c r="D8" s="80" t="s">
        <v>65</v>
      </c>
      <c r="E8" s="80" t="s">
        <v>66</v>
      </c>
    </row>
    <row r="9" spans="1:8" x14ac:dyDescent="0.2">
      <c r="A9" s="1642"/>
      <c r="B9" s="1642"/>
      <c r="C9" s="1642"/>
      <c r="D9" s="6" t="s">
        <v>223</v>
      </c>
      <c r="E9" s="6" t="s">
        <v>223</v>
      </c>
    </row>
    <row r="10" spans="1:8" x14ac:dyDescent="0.2">
      <c r="A10" s="11">
        <v>1</v>
      </c>
      <c r="B10" s="10" t="s">
        <v>437</v>
      </c>
      <c r="C10" s="91"/>
      <c r="D10" s="1592">
        <v>0</v>
      </c>
      <c r="E10" s="1592">
        <v>0</v>
      </c>
      <c r="F10" s="15"/>
      <c r="H10" s="92"/>
    </row>
    <row r="11" spans="1:8" x14ac:dyDescent="0.2">
      <c r="A11" s="11"/>
      <c r="B11" s="10"/>
      <c r="C11" s="91"/>
      <c r="D11" s="1592"/>
      <c r="E11" s="1592"/>
      <c r="F11" s="15"/>
      <c r="H11" s="92"/>
    </row>
    <row r="12" spans="1:8" x14ac:dyDescent="0.2">
      <c r="A12" s="11">
        <v>2</v>
      </c>
      <c r="B12" s="10" t="s">
        <v>439</v>
      </c>
      <c r="C12" s="91"/>
      <c r="D12" s="1592"/>
      <c r="E12" s="1592"/>
      <c r="F12" s="15"/>
      <c r="H12" s="92"/>
    </row>
    <row r="13" spans="1:8" x14ac:dyDescent="0.2">
      <c r="A13" s="11"/>
      <c r="B13" s="10"/>
      <c r="C13" s="91"/>
      <c r="D13" s="1592"/>
      <c r="E13" s="1592"/>
      <c r="F13" s="15"/>
      <c r="H13" s="92"/>
    </row>
    <row r="14" spans="1:8" x14ac:dyDescent="0.2">
      <c r="A14" s="11">
        <v>3</v>
      </c>
      <c r="B14" s="10" t="s">
        <v>440</v>
      </c>
      <c r="C14" s="91"/>
      <c r="D14" s="1592"/>
      <c r="E14" s="1592"/>
      <c r="F14" s="15"/>
      <c r="H14" s="92"/>
    </row>
    <row r="15" spans="1:8" x14ac:dyDescent="0.2">
      <c r="A15" s="11" t="s">
        <v>78</v>
      </c>
      <c r="B15" s="10" t="s">
        <v>441</v>
      </c>
      <c r="C15" s="91"/>
      <c r="D15" s="1592">
        <f>+'Balance Sheet and P&amp;L'!D319</f>
        <v>109.202121408</v>
      </c>
      <c r="E15" s="1592">
        <f>+'Balance Sheet and P&amp;L'!E319</f>
        <v>113.757208968</v>
      </c>
      <c r="F15" s="15"/>
      <c r="H15" s="92"/>
    </row>
    <row r="16" spans="1:8" x14ac:dyDescent="0.2">
      <c r="A16" s="11" t="s">
        <v>80</v>
      </c>
      <c r="B16" s="10" t="s">
        <v>442</v>
      </c>
      <c r="C16" s="91"/>
      <c r="D16" s="1592"/>
      <c r="E16" s="1592"/>
      <c r="F16" s="15"/>
      <c r="H16" s="92"/>
    </row>
    <row r="17" spans="1:8" x14ac:dyDescent="0.2">
      <c r="A17" s="11" t="s">
        <v>100</v>
      </c>
      <c r="B17" s="10" t="s">
        <v>443</v>
      </c>
      <c r="C17" s="91"/>
      <c r="D17" s="1592">
        <f>+'Balance Sheet and P&amp;L'!D324</f>
        <v>96.164346129999998</v>
      </c>
      <c r="E17" s="1592">
        <f>+'Balance Sheet and P&amp;L'!E324</f>
        <v>164.985980826</v>
      </c>
      <c r="F17" s="15"/>
      <c r="H17" s="92"/>
    </row>
    <row r="18" spans="1:8" x14ac:dyDescent="0.2">
      <c r="A18" s="11" t="s">
        <v>102</v>
      </c>
      <c r="B18" s="43" t="s">
        <v>444</v>
      </c>
      <c r="C18" s="91"/>
      <c r="D18" s="1592">
        <f>+'Balance Sheet and P&amp;L'!D320</f>
        <v>845.82049583800006</v>
      </c>
      <c r="E18" s="1592">
        <f>+'Balance Sheet and P&amp;L'!E320</f>
        <v>825.53064624099989</v>
      </c>
      <c r="F18" s="15"/>
      <c r="H18" s="92"/>
    </row>
    <row r="19" spans="1:8" x14ac:dyDescent="0.2">
      <c r="A19" s="11" t="s">
        <v>445</v>
      </c>
      <c r="B19" s="43" t="s">
        <v>446</v>
      </c>
      <c r="C19" s="91"/>
      <c r="D19" s="1592">
        <f>+'Balance Sheet and P&amp;L'!D317</f>
        <v>107.9310807</v>
      </c>
      <c r="E19" s="1592">
        <f>+'Balance Sheet and P&amp;L'!E317</f>
        <v>198.30443490000002</v>
      </c>
      <c r="F19" s="15"/>
      <c r="H19" s="93"/>
    </row>
    <row r="20" spans="1:8" x14ac:dyDescent="0.2">
      <c r="A20" s="11" t="s">
        <v>447</v>
      </c>
      <c r="B20" s="10" t="s">
        <v>448</v>
      </c>
      <c r="C20" s="94"/>
      <c r="D20" s="1592"/>
      <c r="E20" s="1592"/>
      <c r="F20" s="15"/>
      <c r="H20" s="93"/>
    </row>
    <row r="21" spans="1:8" x14ac:dyDescent="0.2">
      <c r="A21" s="11"/>
      <c r="B21" s="10" t="s">
        <v>449</v>
      </c>
      <c r="C21" s="75"/>
      <c r="D21" s="1592">
        <f>+'Balance Sheet and P&amp;L'!D315</f>
        <v>2078.9247488449996</v>
      </c>
      <c r="E21" s="1592">
        <f>+'Balance Sheet and P&amp;L'!E315</f>
        <v>1655.376802325</v>
      </c>
      <c r="F21" s="15"/>
    </row>
    <row r="22" spans="1:8" x14ac:dyDescent="0.2">
      <c r="A22" s="11"/>
      <c r="B22" s="43" t="s">
        <v>450</v>
      </c>
      <c r="C22" s="75"/>
      <c r="D22" s="1592">
        <f>+'Balance Sheet and P&amp;L'!D316</f>
        <v>221.60511809500002</v>
      </c>
      <c r="E22" s="1592">
        <f>+'Balance Sheet and P&amp;L'!E316</f>
        <v>179.81683794399999</v>
      </c>
      <c r="F22" s="15"/>
      <c r="G22" s="95"/>
    </row>
    <row r="23" spans="1:8" x14ac:dyDescent="0.2">
      <c r="A23" s="11"/>
      <c r="B23" s="43" t="s">
        <v>451</v>
      </c>
      <c r="C23" s="75"/>
      <c r="D23" s="1592">
        <f>+'Balance Sheet and P&amp;L'!D322</f>
        <v>487.7325586</v>
      </c>
      <c r="E23" s="1592">
        <f>+'Balance Sheet and P&amp;L'!E322</f>
        <v>388.24378400000001</v>
      </c>
      <c r="F23" s="15"/>
      <c r="G23" s="15"/>
    </row>
    <row r="24" spans="1:8" x14ac:dyDescent="0.2">
      <c r="A24" s="11"/>
      <c r="B24" s="10" t="s">
        <v>397</v>
      </c>
      <c r="C24" s="75"/>
      <c r="D24" s="1592">
        <f>+'Balance Sheet and P&amp;L'!D323+'Balance Sheet and P&amp;L'!D321</f>
        <v>226.56529973999997</v>
      </c>
      <c r="E24" s="1592">
        <f>+'Balance Sheet and P&amp;L'!E323+'Balance Sheet and P&amp;L'!E321</f>
        <v>174.75659525</v>
      </c>
    </row>
    <row r="25" spans="1:8" x14ac:dyDescent="0.2">
      <c r="A25" s="11"/>
      <c r="B25" s="10"/>
      <c r="C25" s="75"/>
      <c r="D25" s="141"/>
      <c r="E25" s="11"/>
    </row>
    <row r="26" spans="1:8" x14ac:dyDescent="0.2">
      <c r="A26" s="11"/>
      <c r="B26" s="9" t="s">
        <v>452</v>
      </c>
      <c r="C26" s="75"/>
      <c r="D26" s="1591">
        <f>SUM(D10:D24)</f>
        <v>4173.9457693559998</v>
      </c>
      <c r="E26" s="1591">
        <f>SUM(E10:E24)</f>
        <v>3700.7722904539996</v>
      </c>
    </row>
    <row r="27" spans="1:8" x14ac:dyDescent="0.2">
      <c r="A27" s="11"/>
      <c r="B27" s="9"/>
      <c r="C27" s="75"/>
      <c r="D27" s="1591"/>
      <c r="E27" s="1591"/>
    </row>
    <row r="28" spans="1:8" x14ac:dyDescent="0.2">
      <c r="A28" s="11"/>
      <c r="B28" s="10" t="s">
        <v>453</v>
      </c>
      <c r="C28" s="75"/>
      <c r="D28" s="1592">
        <f>+'Balance Sheet and P&amp;L'!D328</f>
        <v>81.686899999999994</v>
      </c>
      <c r="E28" s="1592">
        <f>+'Balance Sheet and P&amp;L'!E328</f>
        <v>36.905000000000001</v>
      </c>
    </row>
    <row r="29" spans="1:8" x14ac:dyDescent="0.2">
      <c r="A29" s="11"/>
      <c r="B29" s="10" t="s">
        <v>454</v>
      </c>
      <c r="C29" s="75"/>
      <c r="D29" s="1592">
        <f>+'Balance Sheet and P&amp;L'!D331</f>
        <v>42.332451702</v>
      </c>
      <c r="E29" s="1592">
        <f>+'Balance Sheet and P&amp;L'!E331</f>
        <v>41.330191228000004</v>
      </c>
    </row>
    <row r="30" spans="1:8" x14ac:dyDescent="0.2">
      <c r="A30" s="11"/>
      <c r="B30" s="10" t="s">
        <v>455</v>
      </c>
      <c r="C30" s="75"/>
      <c r="D30" s="1592">
        <f>+'Balance Sheet and P&amp;L'!D332</f>
        <v>0.61250196800000001</v>
      </c>
      <c r="E30" s="1592">
        <f>+'Balance Sheet and P&amp;L'!E332</f>
        <v>0.20294429400000003</v>
      </c>
    </row>
    <row r="31" spans="1:8" x14ac:dyDescent="0.2">
      <c r="A31" s="11"/>
      <c r="B31" s="10" t="s">
        <v>456</v>
      </c>
      <c r="C31" s="75"/>
      <c r="D31" s="1592">
        <f>+'Balance Sheet and P&amp;L'!D333</f>
        <v>9.8194741000000002E-2</v>
      </c>
      <c r="E31" s="1592">
        <f>+'Balance Sheet and P&amp;L'!E333</f>
        <v>0.106127629</v>
      </c>
    </row>
    <row r="32" spans="1:8" x14ac:dyDescent="0.2">
      <c r="A32" s="11"/>
      <c r="B32" s="10" t="s">
        <v>457</v>
      </c>
      <c r="C32" s="75"/>
      <c r="D32" s="1592">
        <f>+'Balance Sheet and P&amp;L'!D334</f>
        <v>57.491849813999998</v>
      </c>
      <c r="E32" s="1592">
        <f>+'Balance Sheet and P&amp;L'!E334</f>
        <v>34.958485046999996</v>
      </c>
    </row>
    <row r="33" spans="1:5" x14ac:dyDescent="0.2">
      <c r="A33" s="11"/>
      <c r="B33" s="10" t="s">
        <v>458</v>
      </c>
      <c r="C33" s="75"/>
      <c r="D33" s="1592">
        <f>+'Balance Sheet and P&amp;L'!D335</f>
        <v>0.13512250000000001</v>
      </c>
      <c r="E33" s="1592">
        <f>+'Balance Sheet and P&amp;L'!E335</f>
        <v>0.12963820000000001</v>
      </c>
    </row>
    <row r="34" spans="1:5" x14ac:dyDescent="0.2">
      <c r="A34" s="11"/>
      <c r="B34" s="9" t="s">
        <v>452</v>
      </c>
      <c r="C34" s="75"/>
      <c r="D34" s="1591">
        <f>SUM(D28:D33)</f>
        <v>182.35702072499998</v>
      </c>
      <c r="E34" s="1591">
        <f>SUM(E28:E33)</f>
        <v>113.63238639800001</v>
      </c>
    </row>
    <row r="35" spans="1:5" x14ac:dyDescent="0.2">
      <c r="A35" s="11"/>
      <c r="B35" s="9" t="s">
        <v>92</v>
      </c>
      <c r="C35" s="75"/>
      <c r="D35" s="1591">
        <f>+D34+D26</f>
        <v>4356.3027900809993</v>
      </c>
      <c r="E35" s="1591">
        <f>+E34+E26</f>
        <v>3814.4046768519997</v>
      </c>
    </row>
    <row r="36" spans="1:5" x14ac:dyDescent="0.2">
      <c r="A36" s="11"/>
      <c r="B36" s="10" t="s">
        <v>459</v>
      </c>
      <c r="C36" s="75"/>
      <c r="D36" s="1591">
        <f>+'Balance Sheet and P&amp;L'!D312</f>
        <v>8103.1883832429994</v>
      </c>
      <c r="E36" s="1591">
        <f>+'Balance Sheet and P&amp;L'!E312</f>
        <v>6653.439063114999</v>
      </c>
    </row>
    <row r="37" spans="1:5" x14ac:dyDescent="0.2">
      <c r="A37" s="11"/>
      <c r="B37" s="9" t="s">
        <v>92</v>
      </c>
      <c r="C37" s="75"/>
      <c r="D37" s="1591">
        <f>+D35+D36</f>
        <v>12459.491173323999</v>
      </c>
      <c r="E37" s="1591">
        <f>+E35+E36</f>
        <v>10467.843739966998</v>
      </c>
    </row>
    <row r="38" spans="1:5" x14ac:dyDescent="0.2">
      <c r="A38" s="11"/>
      <c r="B38" s="9"/>
      <c r="C38" s="75"/>
      <c r="D38" s="1591"/>
      <c r="E38" s="1591"/>
    </row>
    <row r="39" spans="1:5" x14ac:dyDescent="0.2">
      <c r="A39" s="11"/>
      <c r="B39" s="9" t="s">
        <v>82</v>
      </c>
      <c r="C39" s="75"/>
      <c r="D39" s="1591">
        <f>+'Balance Sheet and P&amp;L'!D51</f>
        <v>143.34015883641359</v>
      </c>
      <c r="E39" s="1591">
        <f>+'Balance Sheet and P&amp;L'!E51</f>
        <v>161.37657508971779</v>
      </c>
    </row>
    <row r="40" spans="1:5" x14ac:dyDescent="0.2">
      <c r="A40" s="11"/>
      <c r="B40" s="9"/>
      <c r="C40" s="75"/>
      <c r="D40" s="1591"/>
      <c r="E40" s="1591"/>
    </row>
    <row r="41" spans="1:5" x14ac:dyDescent="0.2">
      <c r="A41" s="11"/>
      <c r="B41" s="9"/>
      <c r="C41" s="75"/>
      <c r="D41" s="1591"/>
      <c r="E41" s="1591"/>
    </row>
    <row r="42" spans="1:5" x14ac:dyDescent="0.2">
      <c r="A42" s="11"/>
      <c r="B42" s="9"/>
      <c r="C42" s="75"/>
      <c r="D42" s="1591"/>
      <c r="E42" s="1591"/>
    </row>
    <row r="43" spans="1:5" x14ac:dyDescent="0.2">
      <c r="A43" s="11"/>
      <c r="B43" s="9"/>
      <c r="C43" s="75"/>
      <c r="D43" s="1591"/>
      <c r="E43" s="1591"/>
    </row>
    <row r="44" spans="1:5" x14ac:dyDescent="0.2">
      <c r="A44" s="11"/>
      <c r="B44" s="9"/>
      <c r="C44" s="75"/>
      <c r="D44" s="1591"/>
      <c r="E44" s="1591"/>
    </row>
    <row r="45" spans="1:5" x14ac:dyDescent="0.2">
      <c r="A45" s="11"/>
      <c r="B45" s="9"/>
      <c r="C45" s="75"/>
      <c r="D45" s="1591"/>
      <c r="E45" s="1591"/>
    </row>
    <row r="46" spans="1:5" x14ac:dyDescent="0.2">
      <c r="A46" s="11"/>
      <c r="B46" s="9"/>
      <c r="C46" s="75"/>
      <c r="D46" s="1591"/>
      <c r="E46" s="1591"/>
    </row>
    <row r="47" spans="1:5" x14ac:dyDescent="0.2">
      <c r="A47" s="11"/>
      <c r="B47" s="9"/>
      <c r="C47" s="75"/>
      <c r="D47" s="1591"/>
      <c r="E47" s="1591"/>
    </row>
    <row r="48" spans="1:5" x14ac:dyDescent="0.2">
      <c r="A48" s="11"/>
      <c r="B48" s="9"/>
      <c r="C48" s="75"/>
      <c r="D48" s="1591"/>
      <c r="E48" s="1591"/>
    </row>
    <row r="49" spans="1:5" x14ac:dyDescent="0.2">
      <c r="A49" s="11"/>
      <c r="B49" s="9"/>
      <c r="C49" s="75"/>
      <c r="D49" s="1591"/>
      <c r="E49" s="1591"/>
    </row>
    <row r="50" spans="1:5" x14ac:dyDescent="0.2">
      <c r="A50" s="11"/>
      <c r="B50" s="9"/>
      <c r="C50" s="75"/>
      <c r="D50" s="1591"/>
      <c r="E50" s="1591"/>
    </row>
    <row r="51" spans="1:5" x14ac:dyDescent="0.2">
      <c r="A51" s="11"/>
      <c r="B51" s="10"/>
      <c r="C51" s="74"/>
      <c r="D51" s="91"/>
      <c r="E51" s="10"/>
    </row>
    <row r="52" spans="1:5" x14ac:dyDescent="0.2">
      <c r="A52" s="4"/>
      <c r="C52" s="86"/>
      <c r="D52" s="85"/>
    </row>
    <row r="54" spans="1:5" x14ac:dyDescent="0.2">
      <c r="A54" s="5" t="s">
        <v>243</v>
      </c>
      <c r="B54" s="3" t="s">
        <v>153</v>
      </c>
    </row>
    <row r="58" spans="1:5" x14ac:dyDescent="0.2">
      <c r="A58" s="4"/>
    </row>
    <row r="59" spans="1:5" x14ac:dyDescent="0.2">
      <c r="A59" s="4"/>
      <c r="E59" s="4"/>
    </row>
    <row r="60" spans="1:5" x14ac:dyDescent="0.2">
      <c r="A60" s="4"/>
      <c r="E60" s="4"/>
    </row>
    <row r="61" spans="1:5" x14ac:dyDescent="0.2">
      <c r="A61" s="4"/>
      <c r="C61" s="86"/>
      <c r="D61" s="85"/>
    </row>
    <row r="62" spans="1:5" x14ac:dyDescent="0.2">
      <c r="A62" s="4"/>
      <c r="C62" s="86"/>
      <c r="D62" s="85"/>
    </row>
    <row r="63" spans="1:5" x14ac:dyDescent="0.2">
      <c r="A63" s="4"/>
      <c r="C63" s="86"/>
      <c r="D63" s="85"/>
    </row>
    <row r="64" spans="1:5" x14ac:dyDescent="0.2">
      <c r="A64" s="4"/>
      <c r="C64" s="84"/>
      <c r="D64" s="85"/>
    </row>
    <row r="65" spans="2:4" x14ac:dyDescent="0.2">
      <c r="C65" s="86"/>
      <c r="D65" s="85"/>
    </row>
    <row r="66" spans="2:4" x14ac:dyDescent="0.2">
      <c r="C66" s="84"/>
      <c r="D66" s="85"/>
    </row>
    <row r="67" spans="2:4" x14ac:dyDescent="0.2">
      <c r="C67" s="86"/>
      <c r="D67" s="85"/>
    </row>
    <row r="68" spans="2:4" x14ac:dyDescent="0.2">
      <c r="B68" s="4"/>
    </row>
  </sheetData>
  <mergeCells count="6">
    <mergeCell ref="A2:E2"/>
    <mergeCell ref="A8:A9"/>
    <mergeCell ref="B8:B9"/>
    <mergeCell ref="C8:C9"/>
    <mergeCell ref="A6:E6"/>
    <mergeCell ref="C5:E5"/>
  </mergeCells>
  <phoneticPr fontId="0" type="noConversion"/>
  <printOptions horizontalCentered="1"/>
  <pageMargins left="0.78740157480314965" right="0.39370078740157483" top="0.78740157480314965" bottom="0.19685039370078741" header="0.31496062992125984" footer="0.31496062992125984"/>
  <pageSetup paperSize="9" scale="6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E15"/>
  <sheetViews>
    <sheetView showGridLines="0" view="pageBreakPreview" zoomScale="90" zoomScaleSheetLayoutView="90" zoomScalePageLayoutView="80" workbookViewId="0">
      <selection activeCell="D10" sqref="D10"/>
    </sheetView>
  </sheetViews>
  <sheetFormatPr defaultColWidth="9.140625" defaultRowHeight="15" x14ac:dyDescent="0.2"/>
  <cols>
    <col min="1" max="1" width="7.42578125" style="4" bestFit="1" customWidth="1"/>
    <col min="2" max="2" width="27.7109375" style="3" customWidth="1"/>
    <col min="3" max="3" width="11" style="4" customWidth="1"/>
    <col min="4" max="4" width="30.5703125" style="3" customWidth="1"/>
    <col min="5" max="5" width="32.42578125" style="3" customWidth="1"/>
    <col min="6" max="7" width="15.140625" style="3" bestFit="1" customWidth="1"/>
    <col min="8" max="16384" width="9.140625" style="3"/>
  </cols>
  <sheetData>
    <row r="2" spans="1:5" x14ac:dyDescent="0.2">
      <c r="A2" s="1643" t="s">
        <v>0</v>
      </c>
      <c r="B2" s="1643"/>
      <c r="C2" s="1643"/>
      <c r="D2" s="1643"/>
      <c r="E2" s="1643"/>
    </row>
    <row r="3" spans="1:5" x14ac:dyDescent="0.2">
      <c r="B3" s="1643" t="s">
        <v>1</v>
      </c>
      <c r="C3" s="1643"/>
      <c r="D3" s="1643"/>
      <c r="E3" s="1643"/>
    </row>
    <row r="5" spans="1:5" x14ac:dyDescent="0.2">
      <c r="A5" s="1640" t="s">
        <v>460</v>
      </c>
      <c r="B5" s="1640"/>
      <c r="C5" s="1640"/>
      <c r="D5" s="1640"/>
    </row>
    <row r="6" spans="1:5" x14ac:dyDescent="0.2">
      <c r="A6" s="49"/>
      <c r="B6" s="49"/>
      <c r="C6" s="49"/>
      <c r="D6" s="49"/>
      <c r="E6" s="5"/>
    </row>
    <row r="7" spans="1:5" ht="28.5" x14ac:dyDescent="0.2">
      <c r="A7" s="1642" t="s">
        <v>62</v>
      </c>
      <c r="B7" s="1642" t="s">
        <v>63</v>
      </c>
      <c r="C7" s="1642" t="s">
        <v>222</v>
      </c>
      <c r="D7" s="80" t="s">
        <v>65</v>
      </c>
      <c r="E7" s="80" t="s">
        <v>66</v>
      </c>
    </row>
    <row r="8" spans="1:5" x14ac:dyDescent="0.2">
      <c r="A8" s="1642"/>
      <c r="B8" s="1642"/>
      <c r="C8" s="1642"/>
      <c r="D8" s="6" t="s">
        <v>223</v>
      </c>
      <c r="E8" s="6" t="s">
        <v>223</v>
      </c>
    </row>
    <row r="9" spans="1:5" x14ac:dyDescent="0.2">
      <c r="A9" s="11">
        <v>1</v>
      </c>
      <c r="B9" s="10" t="s">
        <v>461</v>
      </c>
      <c r="C9" s="58"/>
      <c r="D9" s="14"/>
      <c r="E9" s="14"/>
    </row>
    <row r="10" spans="1:5" x14ac:dyDescent="0.2">
      <c r="A10" s="11">
        <v>2</v>
      </c>
      <c r="B10" s="44" t="s">
        <v>401</v>
      </c>
      <c r="C10" s="58"/>
      <c r="D10" s="35">
        <f>+'Balance Sheet and P&amp;L'!D340</f>
        <v>97.033344397000064</v>
      </c>
      <c r="E10" s="35">
        <f>+'Balance Sheet and P&amp;L'!E340</f>
        <v>118.53987642799996</v>
      </c>
    </row>
    <row r="11" spans="1:5" ht="30" x14ac:dyDescent="0.2">
      <c r="A11" s="11">
        <v>3</v>
      </c>
      <c r="B11" s="44" t="s">
        <v>402</v>
      </c>
      <c r="C11" s="58"/>
      <c r="D11" s="35">
        <f>+'Balance Sheet and P&amp;L'!D341</f>
        <v>142.04039931199998</v>
      </c>
      <c r="E11" s="35">
        <f>+'Balance Sheet and P&amp;L'!E341</f>
        <v>146.68159984199997</v>
      </c>
    </row>
    <row r="12" spans="1:5" x14ac:dyDescent="0.2">
      <c r="A12" s="11">
        <v>4</v>
      </c>
      <c r="B12" s="43" t="s">
        <v>176</v>
      </c>
      <c r="C12" s="75"/>
      <c r="D12" s="17"/>
      <c r="E12" s="17"/>
    </row>
    <row r="13" spans="1:5" x14ac:dyDescent="0.2">
      <c r="A13" s="11">
        <v>5</v>
      </c>
      <c r="B13" s="9" t="s">
        <v>92</v>
      </c>
      <c r="C13" s="11"/>
      <c r="D13" s="1593">
        <f>SUM(D10:D12)</f>
        <v>239.07374370900004</v>
      </c>
      <c r="E13" s="1593">
        <f>SUM(E10:E12)</f>
        <v>265.22147626999993</v>
      </c>
    </row>
    <row r="15" spans="1:5" x14ac:dyDescent="0.2">
      <c r="A15" s="5" t="s">
        <v>243</v>
      </c>
      <c r="B15" s="3" t="s">
        <v>153</v>
      </c>
    </row>
  </sheetData>
  <mergeCells count="6">
    <mergeCell ref="A5:D5"/>
    <mergeCell ref="A7:A8"/>
    <mergeCell ref="B7:B8"/>
    <mergeCell ref="C7:C8"/>
    <mergeCell ref="A2:E2"/>
    <mergeCell ref="B3:E3"/>
  </mergeCells>
  <printOptions horizontalCentered="1"/>
  <pageMargins left="0.78740157480314965" right="0.39370078740157483" top="0.78740157480314965" bottom="0.19685039370078741"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N25"/>
  <sheetViews>
    <sheetView showGridLines="0" view="pageBreakPreview" zoomScale="90" zoomScaleSheetLayoutView="90" workbookViewId="0">
      <selection activeCell="F21" sqref="F21"/>
    </sheetView>
  </sheetViews>
  <sheetFormatPr defaultColWidth="9.140625" defaultRowHeight="15" x14ac:dyDescent="0.2"/>
  <cols>
    <col min="1" max="1" width="8" style="4" bestFit="1" customWidth="1"/>
    <col min="2" max="2" width="49.5703125" style="3" customWidth="1"/>
    <col min="3" max="3" width="15" style="4" bestFit="1" customWidth="1"/>
    <col min="4" max="4" width="9.7109375" style="3" customWidth="1"/>
    <col min="5" max="5" width="26.85546875" style="3" bestFit="1" customWidth="1"/>
    <col min="6" max="6" width="25.28515625" style="3" bestFit="1" customWidth="1"/>
    <col min="7" max="7" width="9.7109375" style="3" bestFit="1" customWidth="1"/>
    <col min="8" max="8" width="25" style="3" bestFit="1" customWidth="1"/>
    <col min="9" max="10" width="25.28515625" style="3" bestFit="1" customWidth="1"/>
    <col min="11" max="11" width="26.7109375" style="3" bestFit="1" customWidth="1"/>
    <col min="12" max="12" width="17.5703125" style="3" bestFit="1" customWidth="1"/>
    <col min="13" max="13" width="18.42578125" style="3" bestFit="1" customWidth="1"/>
    <col min="14" max="14" width="17.5703125" style="3" bestFit="1" customWidth="1"/>
    <col min="15" max="15" width="10.7109375" style="3" bestFit="1" customWidth="1"/>
    <col min="16" max="16384" width="9.140625" style="3"/>
  </cols>
  <sheetData>
    <row r="2" spans="1:14" x14ac:dyDescent="0.2">
      <c r="B2" s="1643" t="s">
        <v>0</v>
      </c>
      <c r="C2" s="1643"/>
      <c r="D2" s="1643"/>
      <c r="E2" s="1643"/>
      <c r="F2" s="1643"/>
      <c r="G2" s="1643"/>
      <c r="H2" s="1643"/>
      <c r="I2" s="1643"/>
      <c r="J2" s="1643"/>
      <c r="K2" s="1643"/>
    </row>
    <row r="3" spans="1:14" x14ac:dyDescent="0.2">
      <c r="F3" s="1" t="s">
        <v>1</v>
      </c>
    </row>
    <row r="5" spans="1:14" x14ac:dyDescent="0.2">
      <c r="A5" s="1640" t="s">
        <v>462</v>
      </c>
      <c r="B5" s="1640"/>
      <c r="C5" s="1640"/>
      <c r="D5" s="1640"/>
      <c r="E5" s="1640"/>
      <c r="F5" s="1640"/>
      <c r="G5" s="1640"/>
    </row>
    <row r="6" spans="1:14" x14ac:dyDescent="0.2">
      <c r="D6" s="3" t="s">
        <v>246</v>
      </c>
      <c r="F6" s="3" t="s">
        <v>60</v>
      </c>
      <c r="H6" s="22"/>
      <c r="I6" s="22"/>
      <c r="J6" s="22"/>
      <c r="K6" s="38" t="s">
        <v>61</v>
      </c>
    </row>
    <row r="7" spans="1:14" x14ac:dyDescent="0.2">
      <c r="A7" s="1642" t="s">
        <v>62</v>
      </c>
      <c r="B7" s="1642" t="s">
        <v>63</v>
      </c>
      <c r="C7" s="1642" t="s">
        <v>222</v>
      </c>
      <c r="D7" s="1653" t="s">
        <v>463</v>
      </c>
      <c r="E7" s="1653"/>
      <c r="F7" s="1653"/>
      <c r="G7" s="1653" t="s">
        <v>464</v>
      </c>
      <c r="H7" s="1653"/>
      <c r="I7" s="1653"/>
      <c r="J7" s="1653" t="s">
        <v>465</v>
      </c>
      <c r="K7" s="1653"/>
    </row>
    <row r="8" spans="1:14" ht="28.5" x14ac:dyDescent="0.2">
      <c r="A8" s="1642"/>
      <c r="B8" s="1642"/>
      <c r="C8" s="1642"/>
      <c r="D8" s="6" t="s">
        <v>466</v>
      </c>
      <c r="E8" s="6" t="s">
        <v>467</v>
      </c>
      <c r="F8" s="6" t="s">
        <v>65</v>
      </c>
      <c r="G8" s="6" t="s">
        <v>466</v>
      </c>
      <c r="H8" s="6" t="s">
        <v>468</v>
      </c>
      <c r="I8" s="6" t="s">
        <v>65</v>
      </c>
      <c r="J8" s="6" t="s">
        <v>65</v>
      </c>
      <c r="K8" s="6" t="s">
        <v>66</v>
      </c>
      <c r="L8" s="97"/>
    </row>
    <row r="9" spans="1:14" x14ac:dyDescent="0.2">
      <c r="A9" s="11">
        <v>1</v>
      </c>
      <c r="B9" s="43" t="s">
        <v>469</v>
      </c>
      <c r="C9" s="19"/>
      <c r="D9" s="12">
        <f>+'FA Final'!C10+'FA Final'!D10</f>
        <v>1772.2352800232391</v>
      </c>
      <c r="E9" s="35">
        <f>+F9-D9</f>
        <v>12.623170281000057</v>
      </c>
      <c r="F9" s="35">
        <f>+'FA Final'!C13+'FA Final'!D13</f>
        <v>1784.8584503042391</v>
      </c>
      <c r="G9" s="35">
        <f>+'FA Final'!C19+'FA Final'!D19</f>
        <v>31.172435284238929</v>
      </c>
      <c r="H9" s="1598">
        <f>+I9-G9</f>
        <v>4.2543571</v>
      </c>
      <c r="I9" s="12">
        <f>+'FA Final'!C22+'FA Final'!D22</f>
        <v>35.426792384238929</v>
      </c>
      <c r="J9" s="12">
        <f>+'FA Final'!C28+'FA Final'!D28</f>
        <v>1749.4316579200001</v>
      </c>
      <c r="K9" s="12">
        <f>+'FA Final'!C27+'FA Final'!D27</f>
        <v>1741.0628447390002</v>
      </c>
    </row>
    <row r="10" spans="1:14" x14ac:dyDescent="0.2">
      <c r="A10" s="11">
        <v>2</v>
      </c>
      <c r="B10" s="43" t="s">
        <v>470</v>
      </c>
      <c r="C10" s="19"/>
      <c r="D10" s="12">
        <f>+'FA Final'!E10+'FA Final'!F10</f>
        <v>2101.5171513351652</v>
      </c>
      <c r="E10" s="35">
        <f t="shared" ref="E10:E18" si="0">+F10-D10</f>
        <v>13.68503106099979</v>
      </c>
      <c r="F10" s="35">
        <f>+'FA Final'!E13+'FA Final'!F13</f>
        <v>2115.202182396165</v>
      </c>
      <c r="G10" s="35">
        <f>+'FA Final'!E19+'FA Final'!F19</f>
        <v>639.721188255166</v>
      </c>
      <c r="H10" s="1598">
        <f t="shared" ref="H10:H18" si="1">+I10-G10</f>
        <v>64.179138379999927</v>
      </c>
      <c r="I10" s="12">
        <f>+'FA Final'!E22+'FA Final'!F22</f>
        <v>703.90032663516592</v>
      </c>
      <c r="J10" s="12">
        <f>+'FA Final'!E28+'FA Final'!F28</f>
        <v>1411.3018557609994</v>
      </c>
      <c r="K10" s="12">
        <f>+'FA Final'!E27+'FA Final'!F27</f>
        <v>1461.795963079999</v>
      </c>
    </row>
    <row r="11" spans="1:14" x14ac:dyDescent="0.2">
      <c r="A11" s="11">
        <v>3</v>
      </c>
      <c r="B11" s="43" t="s">
        <v>471</v>
      </c>
      <c r="C11" s="19"/>
      <c r="D11" s="12">
        <f>+'FA Final'!G10</f>
        <v>2622.1991246447124</v>
      </c>
      <c r="E11" s="35">
        <f t="shared" si="0"/>
        <v>18.007464135000191</v>
      </c>
      <c r="F11" s="35">
        <f>+'FA Final'!G13</f>
        <v>2640.2065887797125</v>
      </c>
      <c r="G11" s="35">
        <f>+'FA Final'!G19</f>
        <v>903.76860032771197</v>
      </c>
      <c r="H11" s="1598">
        <f t="shared" si="1"/>
        <v>140.86410847899992</v>
      </c>
      <c r="I11" s="12">
        <f>+'FA Final'!G22</f>
        <v>1044.6327088067119</v>
      </c>
      <c r="J11" s="12">
        <f>+'FA Final'!G28</f>
        <v>1595.5738799730007</v>
      </c>
      <c r="K11" s="12">
        <f>+'FA Final'!G27</f>
        <v>1718.4305243170004</v>
      </c>
    </row>
    <row r="12" spans="1:14" x14ac:dyDescent="0.2">
      <c r="A12" s="11">
        <v>4</v>
      </c>
      <c r="B12" s="43" t="s">
        <v>472</v>
      </c>
      <c r="C12" s="19"/>
      <c r="D12" s="12">
        <f>+'FA Final'!H10+'FA Final'!I10</f>
        <v>2367.8638510868664</v>
      </c>
      <c r="E12" s="35">
        <f t="shared" si="0"/>
        <v>82.367225880000206</v>
      </c>
      <c r="F12" s="35">
        <f>+'FA Final'!H13+'FA Final'!I13</f>
        <v>2450.2310769668666</v>
      </c>
      <c r="G12" s="35">
        <f>+'FA Final'!H19+'FA Final'!I19</f>
        <v>577.50084437186592</v>
      </c>
      <c r="H12" s="1598">
        <f t="shared" si="1"/>
        <v>85.707255484000029</v>
      </c>
      <c r="I12" s="12">
        <f>+'FA Final'!H22+'FA Final'!I22</f>
        <v>663.20809985586595</v>
      </c>
      <c r="J12" s="12">
        <f>+'FA Final'!H28+'FA Final'!I28</f>
        <v>1787.0229771110003</v>
      </c>
      <c r="K12" s="12">
        <f>+'FA Final'!H27+'FA Final'!I27</f>
        <v>1790.3630067150002</v>
      </c>
    </row>
    <row r="13" spans="1:14" x14ac:dyDescent="0.2">
      <c r="A13" s="11">
        <v>5</v>
      </c>
      <c r="B13" s="43" t="s">
        <v>473</v>
      </c>
      <c r="C13" s="19"/>
      <c r="D13" s="12">
        <f>+'FA Final'!J10</f>
        <v>37391.440313478299</v>
      </c>
      <c r="E13" s="35">
        <f t="shared" si="0"/>
        <v>688.18570983300015</v>
      </c>
      <c r="F13" s="35">
        <f>+'FA Final'!J13</f>
        <v>38079.626023311299</v>
      </c>
      <c r="G13" s="35">
        <f>+'FA Final'!J19</f>
        <v>11789.433076383311</v>
      </c>
      <c r="H13" s="1598">
        <f t="shared" si="1"/>
        <v>2245.2694255260012</v>
      </c>
      <c r="I13" s="12">
        <f>+'FA Final'!J22</f>
        <v>14034.702501909313</v>
      </c>
      <c r="J13" s="12">
        <f>+'FA Final'!J28</f>
        <v>24044.923521401986</v>
      </c>
      <c r="K13" s="12">
        <f>+'FA Final'!J27</f>
        <v>25602.007237094986</v>
      </c>
    </row>
    <row r="14" spans="1:14" x14ac:dyDescent="0.2">
      <c r="A14" s="11">
        <v>6</v>
      </c>
      <c r="B14" s="43" t="s">
        <v>474</v>
      </c>
      <c r="C14" s="19"/>
      <c r="D14" s="12">
        <f>+'FA Final'!K10</f>
        <v>547.75576554447969</v>
      </c>
      <c r="E14" s="35">
        <f t="shared" si="0"/>
        <v>0</v>
      </c>
      <c r="F14" s="35">
        <f>+'FA Final'!K13</f>
        <v>547.75576554447969</v>
      </c>
      <c r="G14" s="35">
        <f>+'FA Final'!K19</f>
        <v>197.69294140247959</v>
      </c>
      <c r="H14" s="1598">
        <f t="shared" si="1"/>
        <v>26.877271500000006</v>
      </c>
      <c r="I14" s="12">
        <f>+'FA Final'!K22</f>
        <v>224.5702129024796</v>
      </c>
      <c r="J14" s="12">
        <f>+'FA Final'!K28</f>
        <v>323.18555264200006</v>
      </c>
      <c r="K14" s="12">
        <f>+'FA Final'!K27</f>
        <v>350.06282414200007</v>
      </c>
    </row>
    <row r="15" spans="1:14" x14ac:dyDescent="0.2">
      <c r="A15" s="11">
        <v>7</v>
      </c>
      <c r="B15" s="43" t="s">
        <v>475</v>
      </c>
      <c r="C15" s="19"/>
      <c r="D15" s="12">
        <f>+'FA Final'!L10</f>
        <v>38.827520273308068</v>
      </c>
      <c r="E15" s="35">
        <f t="shared" si="0"/>
        <v>18.539613596000002</v>
      </c>
      <c r="F15" s="35">
        <f>+'FA Final'!L13</f>
        <v>57.36713386930807</v>
      </c>
      <c r="G15" s="35">
        <f>+'FA Final'!L19</f>
        <v>8.9247727423080594</v>
      </c>
      <c r="H15" s="1598">
        <f t="shared" si="1"/>
        <v>2.331570300000001</v>
      </c>
      <c r="I15" s="12">
        <f>+'FA Final'!L22</f>
        <v>11.25634304230806</v>
      </c>
      <c r="J15" s="12">
        <f>+'FA Final'!L28</f>
        <v>46.11079082700001</v>
      </c>
      <c r="K15" s="12">
        <f>+'FA Final'!L27</f>
        <v>29.90274753100001</v>
      </c>
    </row>
    <row r="16" spans="1:14" x14ac:dyDescent="0.2">
      <c r="A16" s="11">
        <v>8</v>
      </c>
      <c r="B16" s="43" t="s">
        <v>476</v>
      </c>
      <c r="C16" s="19"/>
      <c r="D16" s="12">
        <f>+'FA Final'!M10</f>
        <v>35.756384115049336</v>
      </c>
      <c r="E16" s="35">
        <f t="shared" si="0"/>
        <v>1.0747475379999969</v>
      </c>
      <c r="F16" s="35">
        <f>+'FA Final'!M13</f>
        <v>36.831131653049333</v>
      </c>
      <c r="G16" s="35">
        <f>+'FA Final'!M19</f>
        <v>14.585048193049339</v>
      </c>
      <c r="H16" s="1598">
        <f t="shared" si="1"/>
        <v>2.6655354369999991</v>
      </c>
      <c r="I16" s="12">
        <f>+'FA Final'!M22</f>
        <v>17.250583630049338</v>
      </c>
      <c r="J16" s="12">
        <f>+'FA Final'!M28</f>
        <v>19.580548022999995</v>
      </c>
      <c r="K16" s="12">
        <f>+'FA Final'!M27</f>
        <v>21.171335921999997</v>
      </c>
      <c r="L16" s="98"/>
      <c r="M16" s="98"/>
      <c r="N16" s="98"/>
    </row>
    <row r="17" spans="1:12" x14ac:dyDescent="0.2">
      <c r="A17" s="11">
        <v>9</v>
      </c>
      <c r="B17" s="43" t="s">
        <v>477</v>
      </c>
      <c r="C17" s="19"/>
      <c r="D17" s="12">
        <f>+'FA Final'!N10</f>
        <v>62.872925931330059</v>
      </c>
      <c r="E17" s="35">
        <f t="shared" si="0"/>
        <v>11.370460559999998</v>
      </c>
      <c r="F17" s="35">
        <f>+'FA Final'!N13</f>
        <v>74.243386491330057</v>
      </c>
      <c r="G17" s="35">
        <f>+'FA Final'!N19</f>
        <v>29.165713056330098</v>
      </c>
      <c r="H17" s="1598">
        <f t="shared" si="1"/>
        <v>4.1616358610000006</v>
      </c>
      <c r="I17" s="12">
        <f>+'FA Final'!N22</f>
        <v>33.327348917330099</v>
      </c>
      <c r="J17" s="12">
        <f>+'FA Final'!N28</f>
        <v>40.916037573999958</v>
      </c>
      <c r="K17" s="12">
        <f>+'FA Final'!N27</f>
        <v>33.707212874999961</v>
      </c>
      <c r="L17" s="98"/>
    </row>
    <row r="18" spans="1:12" x14ac:dyDescent="0.2">
      <c r="A18" s="11">
        <v>10</v>
      </c>
      <c r="B18" s="43" t="s">
        <v>397</v>
      </c>
      <c r="C18" s="11"/>
      <c r="D18" s="12">
        <f>+'FA Final'!O10</f>
        <v>57.487613597000006</v>
      </c>
      <c r="E18" s="35">
        <f t="shared" si="0"/>
        <v>0</v>
      </c>
      <c r="F18" s="35">
        <f>+'FA Final'!O13</f>
        <v>57.487613597000006</v>
      </c>
      <c r="G18" s="35">
        <f>+'FA Final'!O19</f>
        <v>31.267541556999998</v>
      </c>
      <c r="H18" s="1598">
        <f t="shared" si="1"/>
        <v>3.7538632000000014</v>
      </c>
      <c r="I18" s="12">
        <f>+'FA Final'!O22</f>
        <v>35.021404756999999</v>
      </c>
      <c r="J18" s="12">
        <f>+'FA Final'!O28</f>
        <v>22.466208840000007</v>
      </c>
      <c r="K18" s="12">
        <f>+'FA Final'!O27</f>
        <v>26.220072040000009</v>
      </c>
    </row>
    <row r="19" spans="1:12" x14ac:dyDescent="0.2">
      <c r="A19" s="11"/>
      <c r="B19" s="10" t="s">
        <v>478</v>
      </c>
      <c r="C19" s="11"/>
      <c r="D19" s="1593">
        <f t="shared" ref="D19:K19" si="2">SUM(D9:D18)</f>
        <v>46997.955930029442</v>
      </c>
      <c r="E19" s="1593">
        <f t="shared" si="2"/>
        <v>845.85342288400034</v>
      </c>
      <c r="F19" s="1593">
        <f t="shared" si="2"/>
        <v>47843.809352913449</v>
      </c>
      <c r="G19" s="1593">
        <f t="shared" si="2"/>
        <v>14223.232161573462</v>
      </c>
      <c r="H19" s="1593">
        <f t="shared" si="2"/>
        <v>2580.0641612670011</v>
      </c>
      <c r="I19" s="1593">
        <f t="shared" si="2"/>
        <v>16803.296322840459</v>
      </c>
      <c r="J19" s="1593">
        <f t="shared" si="2"/>
        <v>31040.513030072987</v>
      </c>
      <c r="K19" s="1593">
        <f t="shared" si="2"/>
        <v>32774.723768455988</v>
      </c>
    </row>
    <row r="21" spans="1:12" x14ac:dyDescent="0.2">
      <c r="B21" s="10" t="s">
        <v>479</v>
      </c>
      <c r="C21" s="11"/>
      <c r="D21" s="12">
        <f>+'Note 1A'!C8+'Note 1A'!D8</f>
        <v>4439.6468180000002</v>
      </c>
      <c r="E21" s="12">
        <f>+F21-D21</f>
        <v>0</v>
      </c>
      <c r="F21" s="12">
        <f>+'Note 1A'!C11+'Note 1A'!D11</f>
        <v>4439.6468180000002</v>
      </c>
      <c r="G21" s="12">
        <f>+'Note 1A'!C16+'Note 1A'!D16</f>
        <v>766.58692029999997</v>
      </c>
      <c r="H21" s="12">
        <f>+I21-G21</f>
        <v>253.82251430000008</v>
      </c>
      <c r="I21" s="12">
        <f>+'Note 1A'!C19+'Note 1A'!D19</f>
        <v>1020.4094346000001</v>
      </c>
      <c r="J21" s="12">
        <f>+'Note 1A'!C23+'Note 1A'!D23</f>
        <v>3419.2373834</v>
      </c>
      <c r="K21" s="12">
        <f>+'Note 1A'!D22+'Note 1A'!C22</f>
        <v>3673.0598977</v>
      </c>
    </row>
    <row r="22" spans="1:12" x14ac:dyDescent="0.2">
      <c r="B22" s="10" t="s">
        <v>480</v>
      </c>
      <c r="C22" s="11"/>
      <c r="D22" s="12">
        <f>+'Note 1A'!C31</f>
        <v>37.406316498000002</v>
      </c>
      <c r="E22" s="12">
        <f>+F22-D22</f>
        <v>2.764080093000004</v>
      </c>
      <c r="F22" s="12">
        <f>+'Note 1A'!C34</f>
        <v>40.170396591000006</v>
      </c>
      <c r="G22" s="12">
        <f>+'Note 1A'!C39</f>
        <v>34.263122514999999</v>
      </c>
      <c r="H22" s="12">
        <f>+I22-G22</f>
        <v>1.6132040080000039</v>
      </c>
      <c r="I22" s="12">
        <f>+'Note 1A'!C42</f>
        <v>35.876326523000003</v>
      </c>
      <c r="J22" s="12">
        <f>+'Note 1A'!C46</f>
        <v>4.2940700680000035</v>
      </c>
      <c r="K22" s="12">
        <f>+'Note 1A'!C45</f>
        <v>3.1431939830000033</v>
      </c>
    </row>
    <row r="25" spans="1:12" x14ac:dyDescent="0.2">
      <c r="A25" s="5" t="s">
        <v>243</v>
      </c>
      <c r="B25" s="3" t="s">
        <v>153</v>
      </c>
      <c r="F25" s="13"/>
    </row>
  </sheetData>
  <mergeCells count="8">
    <mergeCell ref="B2:K2"/>
    <mergeCell ref="J7:K7"/>
    <mergeCell ref="A5:G5"/>
    <mergeCell ref="A7:A8"/>
    <mergeCell ref="B7:B8"/>
    <mergeCell ref="C7:C8"/>
    <mergeCell ref="D7:F7"/>
    <mergeCell ref="G7:I7"/>
  </mergeCells>
  <printOptions horizontalCentered="1"/>
  <pageMargins left="0.39370078740157483" right="0.39370078740157483" top="0.78740157480314965" bottom="0.39370078740157483" header="0.31496062992125984" footer="0.31496062992125984"/>
  <pageSetup paperSize="9"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2:I29"/>
  <sheetViews>
    <sheetView showGridLines="0" view="pageBreakPreview" zoomScale="87" zoomScaleSheetLayoutView="87" workbookViewId="0">
      <selection activeCell="D19" sqref="D19"/>
    </sheetView>
  </sheetViews>
  <sheetFormatPr defaultColWidth="9.140625" defaultRowHeight="15" x14ac:dyDescent="0.2"/>
  <cols>
    <col min="1" max="1" width="5.7109375" style="3" customWidth="1"/>
    <col min="2" max="2" width="35.28515625" style="3" customWidth="1"/>
    <col min="3" max="3" width="11.5703125" style="3" customWidth="1"/>
    <col min="4" max="5" width="27.28515625" style="3" customWidth="1"/>
    <col min="6" max="6" width="17.5703125" style="3" bestFit="1" customWidth="1"/>
    <col min="7" max="7" width="21.140625" style="3" customWidth="1"/>
    <col min="8" max="8" width="16.42578125" style="3" bestFit="1" customWidth="1"/>
    <col min="9" max="9" width="33.7109375" style="3" bestFit="1" customWidth="1"/>
    <col min="10" max="16384" width="9.140625" style="3"/>
  </cols>
  <sheetData>
    <row r="2" spans="1:9" x14ac:dyDescent="0.2">
      <c r="A2" s="1643" t="s">
        <v>0</v>
      </c>
      <c r="B2" s="1643"/>
      <c r="C2" s="1643"/>
      <c r="D2" s="1643"/>
      <c r="E2" s="1643"/>
    </row>
    <row r="3" spans="1:9" x14ac:dyDescent="0.2">
      <c r="C3" s="1" t="s">
        <v>1</v>
      </c>
    </row>
    <row r="5" spans="1:9" x14ac:dyDescent="0.2">
      <c r="A5" s="1640" t="s">
        <v>481</v>
      </c>
      <c r="B5" s="1640"/>
      <c r="C5" s="1640"/>
      <c r="D5" s="1640"/>
      <c r="E5" s="22"/>
    </row>
    <row r="6" spans="1:9" x14ac:dyDescent="0.2">
      <c r="A6" s="49"/>
      <c r="B6" s="49"/>
      <c r="C6" s="49"/>
      <c r="D6" s="49"/>
      <c r="E6" s="22"/>
    </row>
    <row r="7" spans="1:9" ht="28.5" x14ac:dyDescent="0.2">
      <c r="A7" s="1642" t="s">
        <v>482</v>
      </c>
      <c r="B7" s="1642" t="s">
        <v>63</v>
      </c>
      <c r="C7" s="1642" t="s">
        <v>222</v>
      </c>
      <c r="D7" s="99" t="s">
        <v>65</v>
      </c>
      <c r="E7" s="99" t="s">
        <v>66</v>
      </c>
    </row>
    <row r="8" spans="1:9" x14ac:dyDescent="0.2">
      <c r="A8" s="1642"/>
      <c r="B8" s="1642"/>
      <c r="C8" s="1642"/>
      <c r="D8" s="41" t="s">
        <v>223</v>
      </c>
      <c r="E8" s="41" t="s">
        <v>223</v>
      </c>
    </row>
    <row r="9" spans="1:9" x14ac:dyDescent="0.2">
      <c r="A9" s="11">
        <v>1</v>
      </c>
      <c r="B9" s="10" t="s">
        <v>483</v>
      </c>
      <c r="C9" s="100"/>
      <c r="D9" s="14"/>
      <c r="E9" s="14"/>
      <c r="F9" s="15"/>
      <c r="I9" s="15"/>
    </row>
    <row r="10" spans="1:9" x14ac:dyDescent="0.2">
      <c r="A10" s="11"/>
      <c r="B10" s="10" t="s">
        <v>484</v>
      </c>
      <c r="C10" s="100"/>
      <c r="D10" s="35">
        <f>+'cwip (2)'!C25</f>
        <v>-1.7763568394002505E-15</v>
      </c>
      <c r="E10" s="35">
        <f>+'cwip (2)'!C23</f>
        <v>1.0268333459999983</v>
      </c>
      <c r="F10" s="15"/>
      <c r="I10" s="15"/>
    </row>
    <row r="11" spans="1:9" x14ac:dyDescent="0.2">
      <c r="A11" s="11"/>
      <c r="B11" s="10" t="s">
        <v>485</v>
      </c>
      <c r="C11" s="100"/>
      <c r="D11" s="35">
        <f>+'cwip (2)'!E25</f>
        <v>1570.1811340750007</v>
      </c>
      <c r="E11" s="35">
        <f>+'cwip (2)'!E23</f>
        <v>1358.7940881850006</v>
      </c>
      <c r="F11" s="15"/>
      <c r="I11" s="15"/>
    </row>
    <row r="12" spans="1:9" x14ac:dyDescent="0.2">
      <c r="A12" s="11"/>
      <c r="B12" s="10" t="s">
        <v>486</v>
      </c>
      <c r="C12" s="100"/>
      <c r="D12" s="35">
        <f>+'cwip (2)'!F25</f>
        <v>32.422510976999995</v>
      </c>
      <c r="E12" s="35">
        <f>+'cwip (2)'!F23</f>
        <v>33.960707766999995</v>
      </c>
      <c r="F12" s="15"/>
      <c r="I12" s="15"/>
    </row>
    <row r="13" spans="1:9" x14ac:dyDescent="0.2">
      <c r="A13" s="11"/>
      <c r="B13" s="10" t="s">
        <v>471</v>
      </c>
      <c r="C13" s="100"/>
      <c r="D13" s="35">
        <f>+'cwip (2)'!G25</f>
        <v>2.6645352591003757E-15</v>
      </c>
      <c r="E13" s="35">
        <f>+'cwip (2)'!G23</f>
        <v>0.99034164400000257</v>
      </c>
      <c r="F13" s="15"/>
      <c r="I13" s="15"/>
    </row>
    <row r="14" spans="1:9" x14ac:dyDescent="0.2">
      <c r="A14" s="11"/>
      <c r="B14" s="10" t="s">
        <v>487</v>
      </c>
      <c r="C14" s="100"/>
      <c r="D14" s="35">
        <f>+'cwip (2)'!H25</f>
        <v>1.9760687140000002</v>
      </c>
      <c r="E14" s="35">
        <f>+'cwip (2)'!H23</f>
        <v>1.9760687140000002</v>
      </c>
      <c r="F14" s="15"/>
      <c r="I14" s="15"/>
    </row>
    <row r="15" spans="1:9" x14ac:dyDescent="0.2">
      <c r="A15" s="11"/>
      <c r="B15" s="10" t="s">
        <v>488</v>
      </c>
      <c r="C15" s="100"/>
      <c r="D15" s="35">
        <f>+'cwip (2)'!I25</f>
        <v>22.057503802999996</v>
      </c>
      <c r="E15" s="35">
        <f>+'cwip (2)'!I23</f>
        <v>37.794797907999993</v>
      </c>
      <c r="F15" s="15"/>
      <c r="I15" s="15"/>
    </row>
    <row r="16" spans="1:9" x14ac:dyDescent="0.2">
      <c r="A16" s="11"/>
      <c r="B16" s="10" t="s">
        <v>489</v>
      </c>
      <c r="C16" s="100"/>
      <c r="D16" s="35">
        <f>+'cwip (2)'!J25</f>
        <v>4166.3625527829972</v>
      </c>
      <c r="E16" s="35">
        <f>+'cwip (2)'!J23</f>
        <v>3268.5027405579985</v>
      </c>
      <c r="F16" s="15"/>
      <c r="I16" s="15"/>
    </row>
    <row r="17" spans="1:9" x14ac:dyDescent="0.2">
      <c r="A17" s="11"/>
      <c r="B17" s="10" t="s">
        <v>475</v>
      </c>
      <c r="C17" s="100"/>
      <c r="D17" s="35">
        <v>0</v>
      </c>
      <c r="E17" s="35">
        <v>0</v>
      </c>
      <c r="F17" s="15"/>
      <c r="I17" s="15"/>
    </row>
    <row r="18" spans="1:9" x14ac:dyDescent="0.2">
      <c r="A18" s="11"/>
      <c r="B18" s="103" t="s">
        <v>490</v>
      </c>
      <c r="C18" s="100"/>
      <c r="D18" s="35">
        <f>+'cwip (2)'!M25</f>
        <v>9.0000000341585503E-8</v>
      </c>
      <c r="E18" s="35">
        <f>+'cwip (2)'!M23</f>
        <v>1.2851580000003415E-3</v>
      </c>
      <c r="F18" s="15"/>
      <c r="I18" s="15"/>
    </row>
    <row r="19" spans="1:9" x14ac:dyDescent="0.2">
      <c r="A19" s="11"/>
      <c r="B19" s="43" t="s">
        <v>491</v>
      </c>
      <c r="C19" s="100"/>
      <c r="D19" s="35">
        <f>+'cwip (2)'!N25</f>
        <v>0.83898524800000385</v>
      </c>
      <c r="E19" s="35">
        <f>+'cwip (2)'!N23</f>
        <v>0.46143401900000391</v>
      </c>
      <c r="F19" s="15"/>
      <c r="I19" s="15"/>
    </row>
    <row r="20" spans="1:9" x14ac:dyDescent="0.2">
      <c r="A20" s="11"/>
      <c r="B20" s="10"/>
      <c r="C20" s="100"/>
      <c r="D20" s="35"/>
      <c r="E20" s="35"/>
      <c r="F20" s="15"/>
      <c r="I20" s="15"/>
    </row>
    <row r="21" spans="1:9" x14ac:dyDescent="0.2">
      <c r="A21" s="11"/>
      <c r="B21" s="10"/>
      <c r="C21" s="100"/>
      <c r="D21" s="35"/>
      <c r="E21" s="35"/>
      <c r="F21" s="15"/>
      <c r="I21" s="15"/>
    </row>
    <row r="22" spans="1:9" x14ac:dyDescent="0.2">
      <c r="A22" s="11">
        <v>2</v>
      </c>
      <c r="B22" s="10" t="s">
        <v>492</v>
      </c>
      <c r="C22" s="100"/>
      <c r="D22" s="1599"/>
      <c r="E22" s="1599"/>
      <c r="G22" s="101"/>
      <c r="H22" s="101"/>
      <c r="I22" s="102"/>
    </row>
    <row r="23" spans="1:9" x14ac:dyDescent="0.2">
      <c r="A23" s="11" t="s">
        <v>160</v>
      </c>
      <c r="B23" s="10" t="s">
        <v>176</v>
      </c>
      <c r="C23" s="100"/>
      <c r="D23" s="35"/>
      <c r="E23" s="35"/>
      <c r="H23" s="13"/>
    </row>
    <row r="24" spans="1:9" x14ac:dyDescent="0.2">
      <c r="A24" s="11" t="s">
        <v>162</v>
      </c>
      <c r="B24" s="10" t="s">
        <v>176</v>
      </c>
      <c r="C24" s="100"/>
      <c r="D24" s="35"/>
      <c r="E24" s="35"/>
      <c r="H24" s="13"/>
      <c r="I24" s="15"/>
    </row>
    <row r="25" spans="1:9" ht="45" x14ac:dyDescent="0.2">
      <c r="A25" s="45">
        <v>3</v>
      </c>
      <c r="B25" s="103" t="s">
        <v>493</v>
      </c>
      <c r="C25" s="90"/>
      <c r="D25" s="1600"/>
      <c r="E25" s="1600"/>
    </row>
    <row r="26" spans="1:9" x14ac:dyDescent="0.2">
      <c r="A26" s="11">
        <v>4</v>
      </c>
      <c r="B26" s="66" t="s">
        <v>92</v>
      </c>
      <c r="C26" s="11"/>
      <c r="D26" s="1595">
        <f>SUM(D10:D25)</f>
        <v>5793.8387556899979</v>
      </c>
      <c r="E26" s="1595">
        <f>SUM(E10:E25)</f>
        <v>4703.5082972989994</v>
      </c>
      <c r="G26" s="15"/>
      <c r="H26" s="95"/>
      <c r="I26" s="15"/>
    </row>
    <row r="27" spans="1:9" x14ac:dyDescent="0.2">
      <c r="A27" s="11">
        <v>5</v>
      </c>
      <c r="B27" s="10" t="s">
        <v>494</v>
      </c>
      <c r="C27" s="10"/>
      <c r="D27" s="1593">
        <f>+'cwip (2)'!P18</f>
        <v>574.16186102100005</v>
      </c>
      <c r="E27" s="1593">
        <f>+'cwip (2)'!P15</f>
        <v>378.067937207</v>
      </c>
    </row>
    <row r="28" spans="1:9" x14ac:dyDescent="0.2">
      <c r="A28" s="22"/>
      <c r="B28" s="5"/>
      <c r="F28" s="23"/>
      <c r="G28" s="52"/>
      <c r="H28" s="52"/>
    </row>
    <row r="29" spans="1:9" x14ac:dyDescent="0.2">
      <c r="A29" s="22" t="s">
        <v>243</v>
      </c>
      <c r="B29" s="3" t="s">
        <v>153</v>
      </c>
    </row>
  </sheetData>
  <mergeCells count="5">
    <mergeCell ref="A2:E2"/>
    <mergeCell ref="B7:B8"/>
    <mergeCell ref="C7:C8"/>
    <mergeCell ref="A5:D5"/>
    <mergeCell ref="A7:A8"/>
  </mergeCells>
  <phoneticPr fontId="0" type="noConversion"/>
  <printOptions horizontalCentered="1"/>
  <pageMargins left="0.78740157480314965" right="0.39370078740157483" top="0.78740157480314965" bottom="0.19685039370078741"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2:F34"/>
  <sheetViews>
    <sheetView showGridLines="0" view="pageBreakPreview" zoomScale="90" zoomScaleSheetLayoutView="90" workbookViewId="0">
      <selection activeCell="D30" sqref="D30"/>
    </sheetView>
  </sheetViews>
  <sheetFormatPr defaultColWidth="9.140625" defaultRowHeight="15" x14ac:dyDescent="0.2"/>
  <cols>
    <col min="1" max="1" width="6.5703125" style="4" customWidth="1"/>
    <col min="2" max="2" width="64.5703125" style="104" customWidth="1"/>
    <col min="3" max="3" width="15.28515625" style="106" bestFit="1" customWidth="1"/>
    <col min="4" max="4" width="25.7109375" style="104" customWidth="1"/>
    <col min="5" max="5" width="24.140625" style="104" customWidth="1"/>
    <col min="6" max="6" width="13.85546875" style="104" bestFit="1" customWidth="1"/>
    <col min="7" max="7" width="11.140625" style="104" bestFit="1" customWidth="1"/>
    <col min="8" max="16384" width="9.140625" style="104"/>
  </cols>
  <sheetData>
    <row r="2" spans="1:6" x14ac:dyDescent="0.2">
      <c r="A2" s="1643" t="s">
        <v>0</v>
      </c>
      <c r="B2" s="1643"/>
      <c r="C2" s="1643"/>
      <c r="D2" s="1643"/>
      <c r="E2" s="1643"/>
      <c r="F2" s="154"/>
    </row>
    <row r="3" spans="1:6" x14ac:dyDescent="0.2">
      <c r="B3" s="1643" t="s">
        <v>1</v>
      </c>
      <c r="C3" s="1643"/>
      <c r="D3" s="1643"/>
    </row>
    <row r="6" spans="1:6" x14ac:dyDescent="0.2">
      <c r="A6" s="1640" t="s">
        <v>495</v>
      </c>
      <c r="B6" s="1640"/>
      <c r="C6" s="1640"/>
      <c r="D6" s="1640"/>
      <c r="E6" s="22"/>
      <c r="F6" s="3"/>
    </row>
    <row r="7" spans="1:6" x14ac:dyDescent="0.2">
      <c r="A7" s="104"/>
      <c r="C7" s="104"/>
      <c r="F7" s="3"/>
    </row>
    <row r="8" spans="1:6" ht="42.75" x14ac:dyDescent="0.2">
      <c r="A8" s="1642" t="s">
        <v>482</v>
      </c>
      <c r="B8" s="1642" t="s">
        <v>63</v>
      </c>
      <c r="C8" s="1642" t="s">
        <v>222</v>
      </c>
      <c r="D8" s="99" t="s">
        <v>65</v>
      </c>
      <c r="E8" s="99" t="s">
        <v>66</v>
      </c>
      <c r="F8" s="3"/>
    </row>
    <row r="9" spans="1:6" x14ac:dyDescent="0.2">
      <c r="A9" s="1642"/>
      <c r="B9" s="1642"/>
      <c r="C9" s="1642"/>
      <c r="D9" s="41" t="s">
        <v>223</v>
      </c>
      <c r="E9" s="41" t="s">
        <v>223</v>
      </c>
      <c r="F9" s="3"/>
    </row>
    <row r="10" spans="1:6" x14ac:dyDescent="0.2">
      <c r="A10" s="11">
        <v>1</v>
      </c>
      <c r="B10" s="9" t="s">
        <v>496</v>
      </c>
      <c r="C10" s="107"/>
      <c r="D10" s="14"/>
      <c r="E10" s="14"/>
      <c r="F10" s="3"/>
    </row>
    <row r="11" spans="1:6" x14ac:dyDescent="0.2">
      <c r="A11" s="11"/>
      <c r="B11" s="10" t="s">
        <v>497</v>
      </c>
      <c r="C11" s="107"/>
      <c r="D11" s="14"/>
      <c r="E11" s="14"/>
      <c r="F11" s="3"/>
    </row>
    <row r="12" spans="1:6" x14ac:dyDescent="0.2">
      <c r="A12" s="11"/>
      <c r="B12" s="10" t="s">
        <v>498</v>
      </c>
      <c r="C12" s="107"/>
      <c r="D12" s="35">
        <f>+'Balance Sheet and P&amp;L'!D188</f>
        <v>1.4262655</v>
      </c>
      <c r="E12" s="35">
        <f>+'Balance Sheet and P&amp;L'!E188</f>
        <v>1.6583991</v>
      </c>
      <c r="F12" s="3"/>
    </row>
    <row r="13" spans="1:6" x14ac:dyDescent="0.2">
      <c r="A13" s="11"/>
      <c r="B13" s="10" t="s">
        <v>499</v>
      </c>
      <c r="C13" s="107"/>
      <c r="D13" s="14"/>
      <c r="E13" s="14"/>
      <c r="F13" s="3"/>
    </row>
    <row r="14" spans="1:6" x14ac:dyDescent="0.2">
      <c r="A14" s="11"/>
      <c r="B14" s="10"/>
      <c r="C14" s="107"/>
      <c r="D14" s="14"/>
      <c r="E14" s="14"/>
      <c r="F14" s="3"/>
    </row>
    <row r="15" spans="1:6" x14ac:dyDescent="0.2">
      <c r="A15" s="11">
        <v>2</v>
      </c>
      <c r="B15" s="9" t="s">
        <v>500</v>
      </c>
      <c r="C15" s="107"/>
      <c r="D15" s="14"/>
      <c r="E15" s="14"/>
      <c r="F15" s="3"/>
    </row>
    <row r="16" spans="1:6" x14ac:dyDescent="0.2">
      <c r="A16" s="11"/>
      <c r="B16" s="10" t="s">
        <v>497</v>
      </c>
      <c r="C16" s="107"/>
      <c r="D16" s="14"/>
      <c r="E16" s="14"/>
      <c r="F16" s="3"/>
    </row>
    <row r="17" spans="1:6" x14ac:dyDescent="0.2">
      <c r="A17" s="11"/>
      <c r="B17" s="10" t="s">
        <v>498</v>
      </c>
      <c r="C17" s="107"/>
      <c r="D17" s="14"/>
      <c r="E17" s="14"/>
      <c r="F17" s="3"/>
    </row>
    <row r="18" spans="1:6" x14ac:dyDescent="0.2">
      <c r="A18" s="11"/>
      <c r="B18" s="10" t="s">
        <v>499</v>
      </c>
      <c r="C18" s="107"/>
      <c r="D18" s="14"/>
      <c r="E18" s="14"/>
      <c r="F18" s="3"/>
    </row>
    <row r="19" spans="1:6" x14ac:dyDescent="0.2">
      <c r="A19" s="11"/>
      <c r="B19" s="10"/>
      <c r="C19" s="107"/>
      <c r="D19" s="14"/>
      <c r="E19" s="14"/>
      <c r="F19" s="3"/>
    </row>
    <row r="20" spans="1:6" x14ac:dyDescent="0.2">
      <c r="A20" s="11"/>
      <c r="C20" s="107"/>
      <c r="D20" s="14"/>
      <c r="E20" s="14"/>
      <c r="F20" s="3"/>
    </row>
    <row r="21" spans="1:6" x14ac:dyDescent="0.2">
      <c r="A21" s="11"/>
      <c r="B21" s="10" t="s">
        <v>501</v>
      </c>
      <c r="C21" s="107"/>
      <c r="D21" s="35">
        <f>+'Balance Sheet and P&amp;L'!D187</f>
        <v>0</v>
      </c>
      <c r="E21" s="35">
        <f>+'Balance Sheet and P&amp;L'!E187</f>
        <v>0.22177115499999997</v>
      </c>
      <c r="F21" s="3"/>
    </row>
    <row r="22" spans="1:6" x14ac:dyDescent="0.2">
      <c r="A22" s="11"/>
      <c r="B22" s="10" t="s">
        <v>502</v>
      </c>
      <c r="C22" s="143"/>
      <c r="D22" s="1597">
        <f>+'Balance Sheet and P&amp;L'!D186</f>
        <v>296.60033398299993</v>
      </c>
      <c r="E22" s="1597">
        <f>+'Balance Sheet and P&amp;L'!E186</f>
        <v>266.77299774400035</v>
      </c>
    </row>
    <row r="23" spans="1:6" x14ac:dyDescent="0.2">
      <c r="A23" s="11"/>
      <c r="B23" s="43" t="s">
        <v>503</v>
      </c>
      <c r="C23" s="143"/>
      <c r="D23" s="1597">
        <f>+'Balance Sheet and P&amp;L'!D189</f>
        <v>323.902233663</v>
      </c>
      <c r="E23" s="1597">
        <f>+'Balance Sheet and P&amp;L'!E189</f>
        <v>163.301880963</v>
      </c>
    </row>
    <row r="24" spans="1:6" x14ac:dyDescent="0.2">
      <c r="A24" s="11"/>
      <c r="B24" s="43" t="s">
        <v>504</v>
      </c>
      <c r="C24" s="143"/>
      <c r="D24" s="1597">
        <f>+'Balance Sheet and P&amp;L'!D174</f>
        <v>238.76932591899995</v>
      </c>
      <c r="E24" s="1597">
        <f>+'Balance Sheet and P&amp;L'!E174</f>
        <v>331.85930816000007</v>
      </c>
    </row>
    <row r="25" spans="1:6" x14ac:dyDescent="0.2">
      <c r="A25" s="11"/>
      <c r="B25" s="43" t="s">
        <v>505</v>
      </c>
      <c r="C25" s="143"/>
      <c r="D25" s="1597">
        <f>+'Balance Sheet and P&amp;L'!D182</f>
        <v>76.211765499999998</v>
      </c>
      <c r="E25" s="1597">
        <f>+'Balance Sheet and P&amp;L'!E182</f>
        <v>76.211765499999998</v>
      </c>
    </row>
    <row r="26" spans="1:6" x14ac:dyDescent="0.2">
      <c r="A26" s="11"/>
      <c r="B26" s="43" t="s">
        <v>506</v>
      </c>
      <c r="C26" s="143"/>
      <c r="D26" s="1597">
        <f>+'Balance Sheet and P&amp;L'!D178</f>
        <v>203.595050566</v>
      </c>
      <c r="E26" s="1597">
        <f>+'Balance Sheet and P&amp;L'!E178</f>
        <v>203.595050566</v>
      </c>
    </row>
    <row r="27" spans="1:6" x14ac:dyDescent="0.2">
      <c r="A27" s="11"/>
      <c r="B27" s="43"/>
      <c r="C27" s="143"/>
      <c r="D27" s="1597"/>
      <c r="E27" s="1597"/>
    </row>
    <row r="28" spans="1:6" x14ac:dyDescent="0.2">
      <c r="A28" s="11"/>
      <c r="B28" s="10" t="s">
        <v>507</v>
      </c>
      <c r="C28" s="143"/>
      <c r="D28" s="1601">
        <f>+'Balance Sheet and P&amp;L'!D175+'Balance Sheet and P&amp;L'!D179+'Balance Sheet and P&amp;L'!D183</f>
        <v>-518.57614198499994</v>
      </c>
      <c r="E28" s="1601">
        <f>+'Balance Sheet and P&amp;L'!E175+'Balance Sheet and P&amp;L'!E179+'Balance Sheet and P&amp;L'!E183</f>
        <v>-611.66612422599997</v>
      </c>
    </row>
    <row r="29" spans="1:6" x14ac:dyDescent="0.2">
      <c r="A29" s="11"/>
      <c r="B29" s="43"/>
      <c r="C29" s="143"/>
      <c r="D29" s="16"/>
      <c r="E29" s="16"/>
    </row>
    <row r="30" spans="1:6" x14ac:dyDescent="0.2">
      <c r="A30" s="11"/>
      <c r="B30" s="21" t="s">
        <v>508</v>
      </c>
      <c r="C30" s="143"/>
      <c r="D30" s="1602">
        <f>SUM(D12:D28)</f>
        <v>621.92883314599987</v>
      </c>
      <c r="E30" s="1602">
        <f>SUM(E12:E28)</f>
        <v>431.95504896200032</v>
      </c>
    </row>
    <row r="31" spans="1:6" x14ac:dyDescent="0.2">
      <c r="A31" s="11"/>
      <c r="B31" s="16"/>
      <c r="C31" s="143"/>
      <c r="D31" s="16"/>
      <c r="E31" s="16"/>
    </row>
    <row r="34" spans="1:2" x14ac:dyDescent="0.2">
      <c r="A34" s="5" t="s">
        <v>243</v>
      </c>
      <c r="B34" s="3" t="s">
        <v>153</v>
      </c>
    </row>
  </sheetData>
  <mergeCells count="6">
    <mergeCell ref="A2:E2"/>
    <mergeCell ref="B3:D3"/>
    <mergeCell ref="A6:D6"/>
    <mergeCell ref="A8:A9"/>
    <mergeCell ref="B8:B9"/>
    <mergeCell ref="C8:C9"/>
  </mergeCells>
  <phoneticPr fontId="0" type="noConversion"/>
  <printOptions horizontalCentered="1"/>
  <pageMargins left="0.78740157480314965" right="0.39370078740157483" top="0.78740157480314965" bottom="0.19685039370078741" header="0.31496062992125984" footer="0.31496062992125984"/>
  <pageSetup paperSize="9" scale="9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F26"/>
  <sheetViews>
    <sheetView showGridLines="0" view="pageBreakPreview" zoomScale="80" zoomScaleNormal="115" zoomScaleSheetLayoutView="80" workbookViewId="0">
      <selection activeCell="D18" sqref="D18"/>
    </sheetView>
  </sheetViews>
  <sheetFormatPr defaultColWidth="9.140625" defaultRowHeight="15" x14ac:dyDescent="0.2"/>
  <cols>
    <col min="1" max="1" width="7.5703125" style="3" bestFit="1" customWidth="1"/>
    <col min="2" max="2" width="52.5703125" style="3" customWidth="1"/>
    <col min="3" max="3" width="19.42578125" style="3" bestFit="1" customWidth="1"/>
    <col min="4" max="4" width="23.5703125" style="3" customWidth="1"/>
    <col min="5" max="5" width="26.140625" style="3" customWidth="1"/>
    <col min="6" max="6" width="14.7109375" style="3" bestFit="1" customWidth="1"/>
    <col min="7" max="7" width="13.85546875" style="3" bestFit="1" customWidth="1"/>
    <col min="8" max="8" width="13.42578125" style="3" bestFit="1" customWidth="1"/>
    <col min="9" max="16384" width="9.140625" style="3"/>
  </cols>
  <sheetData>
    <row r="2" spans="1:6" x14ac:dyDescent="0.2">
      <c r="B2" s="1643" t="s">
        <v>0</v>
      </c>
      <c r="C2" s="1643"/>
      <c r="D2" s="1643"/>
      <c r="E2" s="1643"/>
      <c r="F2" s="1643"/>
    </row>
    <row r="3" spans="1:6" x14ac:dyDescent="0.2">
      <c r="C3" s="1" t="s">
        <v>1</v>
      </c>
    </row>
    <row r="6" spans="1:6" ht="20.25" customHeight="1" x14ac:dyDescent="0.2">
      <c r="A6" s="22" t="s">
        <v>509</v>
      </c>
      <c r="B6" s="22"/>
      <c r="C6" s="22"/>
      <c r="D6" s="22"/>
      <c r="E6" s="22"/>
    </row>
    <row r="7" spans="1:6" ht="20.25" customHeight="1" x14ac:dyDescent="0.2">
      <c r="A7" s="22"/>
      <c r="B7" s="22"/>
      <c r="C7" s="22"/>
      <c r="D7" s="22"/>
      <c r="E7" s="22"/>
    </row>
    <row r="8" spans="1:6" ht="42.75" customHeight="1" x14ac:dyDescent="0.2">
      <c r="A8" s="1653" t="s">
        <v>510</v>
      </c>
      <c r="B8" s="1653" t="s">
        <v>63</v>
      </c>
      <c r="C8" s="1642" t="s">
        <v>404</v>
      </c>
      <c r="D8" s="99" t="s">
        <v>65</v>
      </c>
      <c r="E8" s="99" t="s">
        <v>66</v>
      </c>
    </row>
    <row r="9" spans="1:6" x14ac:dyDescent="0.2">
      <c r="A9" s="1653"/>
      <c r="B9" s="1653"/>
      <c r="C9" s="1642"/>
      <c r="D9" s="41" t="s">
        <v>223</v>
      </c>
      <c r="E9" s="41" t="s">
        <v>223</v>
      </c>
    </row>
    <row r="10" spans="1:6" x14ac:dyDescent="0.2">
      <c r="A10" s="11">
        <v>1</v>
      </c>
      <c r="B10" s="44" t="s">
        <v>511</v>
      </c>
      <c r="C10" s="117"/>
      <c r="D10" s="35">
        <f>+'Balance Sheet and P&amp;L'!D163</f>
        <v>2.3909302000000068</v>
      </c>
      <c r="E10" s="35">
        <f>+'Balance Sheet and P&amp;L'!E163</f>
        <v>2.2916032999999985</v>
      </c>
    </row>
    <row r="11" spans="1:6" ht="20.25" customHeight="1" x14ac:dyDescent="0.2">
      <c r="A11" s="11"/>
      <c r="B11" s="10"/>
      <c r="C11" s="47"/>
      <c r="D11" s="35"/>
      <c r="E11" s="35"/>
    </row>
    <row r="12" spans="1:6" ht="20.25" customHeight="1" x14ac:dyDescent="0.2">
      <c r="A12" s="11">
        <v>2</v>
      </c>
      <c r="B12" s="10" t="s">
        <v>512</v>
      </c>
      <c r="C12" s="11"/>
      <c r="D12" s="35"/>
      <c r="E12" s="35"/>
    </row>
    <row r="13" spans="1:6" ht="20.25" customHeight="1" x14ac:dyDescent="0.2">
      <c r="A13" s="11"/>
      <c r="B13" s="10" t="s">
        <v>513</v>
      </c>
      <c r="C13" s="11"/>
      <c r="D13" s="35">
        <f>+'Balance Sheet and P&amp;L'!D167</f>
        <v>91.206204</v>
      </c>
      <c r="E13" s="35">
        <f>+'Balance Sheet and P&amp;L'!E167</f>
        <v>89.062062800000007</v>
      </c>
    </row>
    <row r="14" spans="1:6" ht="20.25" customHeight="1" x14ac:dyDescent="0.2">
      <c r="A14" s="11"/>
      <c r="B14" s="10" t="s">
        <v>176</v>
      </c>
      <c r="C14" s="11"/>
      <c r="D14" s="14"/>
      <c r="E14" s="14"/>
    </row>
    <row r="15" spans="1:6" ht="22.5" customHeight="1" x14ac:dyDescent="0.2">
      <c r="A15" s="11"/>
      <c r="B15" s="44" t="s">
        <v>514</v>
      </c>
      <c r="C15" s="118"/>
      <c r="D15" s="39"/>
      <c r="E15" s="14"/>
    </row>
    <row r="16" spans="1:6" ht="22.5" customHeight="1" x14ac:dyDescent="0.2">
      <c r="A16" s="11"/>
      <c r="B16" s="44"/>
      <c r="C16" s="118"/>
      <c r="D16" s="39"/>
      <c r="E16" s="14"/>
    </row>
    <row r="17" spans="1:5" ht="20.25" customHeight="1" x14ac:dyDescent="0.2">
      <c r="A17" s="11"/>
      <c r="B17" s="21"/>
      <c r="C17" s="8"/>
      <c r="D17" s="17"/>
      <c r="E17" s="17"/>
    </row>
    <row r="18" spans="1:5" ht="20.25" customHeight="1" x14ac:dyDescent="0.2">
      <c r="A18" s="11"/>
      <c r="B18" s="21" t="s">
        <v>515</v>
      </c>
      <c r="C18" s="47"/>
      <c r="D18" s="1595">
        <f>SUM(D10:D16)</f>
        <v>93.597134199999999</v>
      </c>
      <c r="E18" s="1595">
        <f>SUM(E10:E16)</f>
        <v>91.353666099999998</v>
      </c>
    </row>
    <row r="19" spans="1:5" hidden="1" x14ac:dyDescent="0.2">
      <c r="A19" s="96"/>
      <c r="B19" s="113"/>
      <c r="C19" s="108"/>
      <c r="D19" s="112"/>
      <c r="E19" s="114"/>
    </row>
    <row r="20" spans="1:5" ht="20.25" hidden="1" customHeight="1" x14ac:dyDescent="0.2">
      <c r="A20" s="115"/>
      <c r="B20" s="105"/>
      <c r="C20" s="109"/>
      <c r="D20" s="77"/>
      <c r="E20" s="78"/>
    </row>
    <row r="21" spans="1:5" ht="20.25" hidden="1" customHeight="1" x14ac:dyDescent="0.2">
      <c r="A21" s="115"/>
      <c r="B21" s="105"/>
      <c r="C21" s="109"/>
      <c r="D21" s="77"/>
      <c r="E21" s="78"/>
    </row>
    <row r="22" spans="1:5" ht="20.25" hidden="1" customHeight="1" x14ac:dyDescent="0.2">
      <c r="A22" s="96"/>
      <c r="B22" s="110"/>
      <c r="C22" s="111"/>
      <c r="D22" s="17"/>
      <c r="E22" s="116"/>
    </row>
    <row r="23" spans="1:5" ht="10.5" customHeight="1" x14ac:dyDescent="0.2"/>
    <row r="26" spans="1:5" x14ac:dyDescent="0.2">
      <c r="A26" s="5" t="s">
        <v>243</v>
      </c>
      <c r="B26" s="3" t="s">
        <v>153</v>
      </c>
    </row>
  </sheetData>
  <mergeCells count="4">
    <mergeCell ref="A8:A9"/>
    <mergeCell ref="B8:B9"/>
    <mergeCell ref="C8:C9"/>
    <mergeCell ref="B2:F2"/>
  </mergeCells>
  <dataValidations count="1">
    <dataValidation allowBlank="1" showInputMessage="1" showErrorMessage="1" promptTitle="Caution" prompt="Put Manual figure here calculated in Rough work._x000a_" sqref="D10:E10"/>
  </dataValidations>
  <printOptions horizontalCentered="1"/>
  <pageMargins left="0.78740157480314965" right="0.39370078740157483" top="0.78740157480314965" bottom="0.19685039370078741"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2:G25"/>
  <sheetViews>
    <sheetView showGridLines="0" view="pageBreakPreview" zoomScaleNormal="115" zoomScaleSheetLayoutView="100" workbookViewId="0">
      <selection activeCell="D13" sqref="D13"/>
    </sheetView>
  </sheetViews>
  <sheetFormatPr defaultColWidth="9.140625" defaultRowHeight="15" x14ac:dyDescent="0.2"/>
  <cols>
    <col min="1" max="1" width="7.5703125" style="3" bestFit="1" customWidth="1"/>
    <col min="2" max="2" width="34.28515625" style="3" customWidth="1"/>
    <col min="3" max="3" width="19.42578125" style="3" bestFit="1" customWidth="1"/>
    <col min="4" max="4" width="23.7109375" style="3" customWidth="1"/>
    <col min="5" max="5" width="24.85546875" style="3" customWidth="1"/>
    <col min="6" max="6" width="14.7109375" style="3" bestFit="1" customWidth="1"/>
    <col min="7" max="7" width="13.85546875" style="3" bestFit="1" customWidth="1"/>
    <col min="8" max="8" width="13.42578125" style="3" bestFit="1" customWidth="1"/>
    <col min="9" max="16384" width="9.140625" style="3"/>
  </cols>
  <sheetData>
    <row r="2" spans="1:7" x14ac:dyDescent="0.2">
      <c r="A2" s="1643" t="s">
        <v>0</v>
      </c>
      <c r="B2" s="1643"/>
      <c r="C2" s="1643"/>
      <c r="D2" s="1643"/>
      <c r="E2" s="1643"/>
    </row>
    <row r="3" spans="1:7" x14ac:dyDescent="0.2">
      <c r="C3" s="1" t="s">
        <v>1</v>
      </c>
    </row>
    <row r="5" spans="1:7" x14ac:dyDescent="0.2">
      <c r="A5" s="22" t="s">
        <v>516</v>
      </c>
      <c r="B5" s="22"/>
      <c r="C5" s="22"/>
      <c r="D5" s="22"/>
      <c r="E5" s="22"/>
    </row>
    <row r="6" spans="1:7" x14ac:dyDescent="0.2">
      <c r="A6" s="22"/>
      <c r="B6" s="22"/>
      <c r="C6" s="22"/>
      <c r="D6" s="22"/>
      <c r="E6" s="22"/>
    </row>
    <row r="7" spans="1:7" ht="42.75" x14ac:dyDescent="0.2">
      <c r="A7" s="1656" t="s">
        <v>510</v>
      </c>
      <c r="B7" s="1656" t="s">
        <v>63</v>
      </c>
      <c r="C7" s="1658" t="s">
        <v>404</v>
      </c>
      <c r="D7" s="99" t="s">
        <v>65</v>
      </c>
      <c r="E7" s="99" t="s">
        <v>66</v>
      </c>
    </row>
    <row r="8" spans="1:7" x14ac:dyDescent="0.2">
      <c r="A8" s="1657"/>
      <c r="B8" s="1657"/>
      <c r="C8" s="1659"/>
      <c r="D8" s="41" t="s">
        <v>223</v>
      </c>
      <c r="E8" s="41" t="s">
        <v>223</v>
      </c>
    </row>
    <row r="9" spans="1:7" x14ac:dyDescent="0.2">
      <c r="A9" s="8"/>
      <c r="B9" s="66" t="s">
        <v>517</v>
      </c>
      <c r="C9" s="26"/>
      <c r="D9" s="8"/>
      <c r="E9" s="8"/>
    </row>
    <row r="10" spans="1:7" x14ac:dyDescent="0.2">
      <c r="A10" s="11">
        <v>1</v>
      </c>
      <c r="B10" s="43" t="s">
        <v>518</v>
      </c>
      <c r="C10" s="118"/>
      <c r="D10" s="1598">
        <f>+'Balance Sheet and P&amp;L'!D194</f>
        <v>1193.6860641599999</v>
      </c>
      <c r="E10" s="1598">
        <f>+'Balance Sheet and P&amp;L'!E194</f>
        <v>470.037504114</v>
      </c>
    </row>
    <row r="11" spans="1:7" x14ac:dyDescent="0.2">
      <c r="A11" s="11">
        <v>2</v>
      </c>
      <c r="B11" s="43" t="s">
        <v>519</v>
      </c>
      <c r="C11" s="119"/>
      <c r="D11" s="1598">
        <f>+'Balance Sheet and P&amp;L'!D195</f>
        <v>318.00257912000001</v>
      </c>
      <c r="E11" s="1598">
        <f>+'Balance Sheet and P&amp;L'!E195</f>
        <v>281.96677375699994</v>
      </c>
    </row>
    <row r="12" spans="1:7" x14ac:dyDescent="0.2">
      <c r="A12" s="11">
        <v>3</v>
      </c>
      <c r="B12" s="10" t="s">
        <v>520</v>
      </c>
      <c r="C12" s="19"/>
      <c r="D12" s="1598">
        <f>+'Balance Sheet and P&amp;L'!D196</f>
        <v>64.560518199000001</v>
      </c>
      <c r="E12" s="1598">
        <f>+'Balance Sheet and P&amp;L'!E196</f>
        <v>71.890221659000005</v>
      </c>
    </row>
    <row r="13" spans="1:7" x14ac:dyDescent="0.2">
      <c r="A13" s="11"/>
      <c r="B13" s="43" t="s">
        <v>517</v>
      </c>
      <c r="C13" s="19"/>
      <c r="D13" s="1598">
        <f>+'Balance Sheet and P&amp;L'!D197</f>
        <v>963.87835612999993</v>
      </c>
      <c r="E13" s="1598">
        <f>+'Balance Sheet and P&amp;L'!E197</f>
        <v>856.640775813</v>
      </c>
    </row>
    <row r="14" spans="1:7" x14ac:dyDescent="0.2">
      <c r="A14" s="8"/>
      <c r="B14" s="10" t="s">
        <v>176</v>
      </c>
      <c r="C14" s="10"/>
      <c r="D14" s="17"/>
      <c r="E14" s="17"/>
      <c r="F14" s="52"/>
      <c r="G14" s="52"/>
    </row>
    <row r="15" spans="1:7" x14ac:dyDescent="0.2">
      <c r="A15" s="45"/>
      <c r="B15" s="21" t="s">
        <v>92</v>
      </c>
      <c r="C15" s="88"/>
      <c r="D15" s="1603">
        <f>SUM(D10:D14)</f>
        <v>2540.1275176089998</v>
      </c>
      <c r="E15" s="1603">
        <f>SUM(E10:E14)</f>
        <v>1680.5352753429997</v>
      </c>
    </row>
    <row r="16" spans="1:7" x14ac:dyDescent="0.2">
      <c r="A16" s="45">
        <v>4</v>
      </c>
      <c r="B16" s="103" t="s">
        <v>521</v>
      </c>
      <c r="C16" s="103"/>
      <c r="D16" s="103"/>
      <c r="E16" s="103"/>
    </row>
    <row r="17" spans="1:5" x14ac:dyDescent="0.2">
      <c r="A17" s="16" t="s">
        <v>78</v>
      </c>
      <c r="B17" s="10" t="s">
        <v>522</v>
      </c>
      <c r="C17" s="10"/>
      <c r="D17" s="12">
        <f>+'Balance Sheet and P&amp;L'!D199</f>
        <v>-385.94918471199998</v>
      </c>
      <c r="E17" s="12">
        <f>+'Balance Sheet and P&amp;L'!E199</f>
        <v>-402.23597693099998</v>
      </c>
    </row>
    <row r="18" spans="1:5" x14ac:dyDescent="0.2">
      <c r="A18" s="16" t="s">
        <v>80</v>
      </c>
      <c r="B18" s="10" t="s">
        <v>523</v>
      </c>
      <c r="C18" s="10"/>
      <c r="D18" s="12">
        <f>+'Balance Sheet and P&amp;L'!D200</f>
        <v>-39.395743226999997</v>
      </c>
      <c r="E18" s="12">
        <f>+'Balance Sheet and P&amp;L'!E200</f>
        <v>-22.538118780000001</v>
      </c>
    </row>
    <row r="19" spans="1:5" x14ac:dyDescent="0.2">
      <c r="A19" s="16"/>
      <c r="B19" s="10"/>
      <c r="C19" s="10"/>
      <c r="D19" s="10"/>
      <c r="E19" s="10"/>
    </row>
    <row r="20" spans="1:5" x14ac:dyDescent="0.2">
      <c r="A20" s="10"/>
      <c r="B20" s="10" t="s">
        <v>176</v>
      </c>
      <c r="C20" s="10"/>
      <c r="D20" s="10"/>
      <c r="E20" s="10"/>
    </row>
    <row r="21" spans="1:5" x14ac:dyDescent="0.2">
      <c r="A21" s="10"/>
      <c r="B21" s="10" t="s">
        <v>176</v>
      </c>
      <c r="C21" s="10"/>
      <c r="D21" s="10"/>
      <c r="E21" s="10"/>
    </row>
    <row r="22" spans="1:5" x14ac:dyDescent="0.2">
      <c r="A22" s="10"/>
      <c r="B22" s="21" t="s">
        <v>524</v>
      </c>
      <c r="C22" s="10"/>
      <c r="D22" s="12">
        <f>SUM(D17:D21)</f>
        <v>-425.34492793899994</v>
      </c>
      <c r="E22" s="12">
        <f>SUM(E17:E21)</f>
        <v>-424.77409571099997</v>
      </c>
    </row>
    <row r="23" spans="1:5" x14ac:dyDescent="0.2">
      <c r="A23" s="10"/>
      <c r="B23" s="21" t="s">
        <v>525</v>
      </c>
      <c r="C23" s="10"/>
      <c r="D23" s="1593">
        <f>+D15+D22</f>
        <v>2114.7825896699997</v>
      </c>
      <c r="E23" s="1593">
        <f>+E15+E22</f>
        <v>1255.7611796319998</v>
      </c>
    </row>
    <row r="25" spans="1:5" x14ac:dyDescent="0.2">
      <c r="A25" s="5" t="s">
        <v>243</v>
      </c>
      <c r="B25" s="3" t="s">
        <v>153</v>
      </c>
    </row>
  </sheetData>
  <mergeCells count="4">
    <mergeCell ref="A7:A8"/>
    <mergeCell ref="B7:B8"/>
    <mergeCell ref="C7:C8"/>
    <mergeCell ref="A2:E2"/>
  </mergeCells>
  <phoneticPr fontId="0" type="noConversion"/>
  <printOptions horizontalCentered="1"/>
  <pageMargins left="0.78740157480314965" right="0.39370078740157483" top="0.78740157480314965" bottom="0.19685039370078741"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F38"/>
  <sheetViews>
    <sheetView showGridLines="0" view="pageBreakPreview" zoomScale="80" zoomScaleSheetLayoutView="80" workbookViewId="0">
      <selection activeCell="D21" sqref="D21"/>
    </sheetView>
  </sheetViews>
  <sheetFormatPr defaultColWidth="9.140625" defaultRowHeight="15" x14ac:dyDescent="0.2"/>
  <cols>
    <col min="1" max="1" width="6" style="3" customWidth="1"/>
    <col min="2" max="2" width="48.85546875" style="3" customWidth="1"/>
    <col min="3" max="3" width="14.140625" style="4" customWidth="1"/>
    <col min="4" max="5" width="25.5703125" style="3" customWidth="1"/>
    <col min="6" max="6" width="14.7109375" style="3" bestFit="1" customWidth="1"/>
    <col min="7" max="8" width="9.140625" style="3"/>
    <col min="9" max="9" width="12" style="3" bestFit="1" customWidth="1"/>
    <col min="10" max="10" width="9.140625" style="3"/>
    <col min="11" max="11" width="10.42578125" style="3" bestFit="1" customWidth="1"/>
    <col min="12" max="16384" width="9.140625" style="3"/>
  </cols>
  <sheetData>
    <row r="2" spans="1:6" x14ac:dyDescent="0.2">
      <c r="A2" s="1643" t="s">
        <v>0</v>
      </c>
      <c r="B2" s="1643"/>
      <c r="C2" s="1643"/>
      <c r="D2" s="1643"/>
      <c r="E2" s="1643"/>
    </row>
    <row r="3" spans="1:6" x14ac:dyDescent="0.2">
      <c r="B3" s="1643" t="s">
        <v>1</v>
      </c>
      <c r="C3" s="1643"/>
      <c r="D3" s="1643"/>
    </row>
    <row r="6" spans="1:6" x14ac:dyDescent="0.2">
      <c r="A6" s="22" t="s">
        <v>526</v>
      </c>
      <c r="B6" s="22"/>
      <c r="C6" s="22"/>
      <c r="D6" s="22"/>
      <c r="E6" s="22"/>
    </row>
    <row r="7" spans="1:6" x14ac:dyDescent="0.2">
      <c r="A7" s="22"/>
      <c r="B7" s="22"/>
      <c r="C7" s="22"/>
      <c r="D7" s="22"/>
      <c r="E7" s="22"/>
    </row>
    <row r="8" spans="1:6" ht="28.5" x14ac:dyDescent="0.2">
      <c r="A8" s="1642" t="s">
        <v>482</v>
      </c>
      <c r="B8" s="1653" t="s">
        <v>63</v>
      </c>
      <c r="C8" s="1642" t="s">
        <v>222</v>
      </c>
      <c r="D8" s="99" t="s">
        <v>65</v>
      </c>
      <c r="E8" s="99" t="s">
        <v>66</v>
      </c>
    </row>
    <row r="9" spans="1:6" x14ac:dyDescent="0.2">
      <c r="A9" s="1642"/>
      <c r="B9" s="1653"/>
      <c r="C9" s="1642"/>
      <c r="D9" s="41" t="s">
        <v>223</v>
      </c>
      <c r="E9" s="41" t="s">
        <v>223</v>
      </c>
    </row>
    <row r="10" spans="1:6" ht="28.5" x14ac:dyDescent="0.2">
      <c r="A10" s="11">
        <v>1</v>
      </c>
      <c r="B10" s="40" t="s">
        <v>527</v>
      </c>
      <c r="C10" s="47"/>
      <c r="D10" s="10"/>
      <c r="E10" s="10"/>
    </row>
    <row r="11" spans="1:6" x14ac:dyDescent="0.2">
      <c r="A11" s="120"/>
      <c r="B11" s="44" t="s">
        <v>497</v>
      </c>
      <c r="C11" s="44"/>
      <c r="D11" s="14"/>
      <c r="E11" s="14"/>
    </row>
    <row r="12" spans="1:6" x14ac:dyDescent="0.2">
      <c r="A12" s="120"/>
      <c r="B12" s="121" t="s">
        <v>498</v>
      </c>
      <c r="C12" s="120"/>
      <c r="D12" s="14"/>
      <c r="E12" s="14"/>
    </row>
    <row r="13" spans="1:6" x14ac:dyDescent="0.2">
      <c r="A13" s="11"/>
      <c r="B13" s="43" t="s">
        <v>499</v>
      </c>
      <c r="C13" s="47"/>
      <c r="D13" s="17"/>
      <c r="E13" s="17"/>
      <c r="F13" s="22"/>
    </row>
    <row r="14" spans="1:6" x14ac:dyDescent="0.2">
      <c r="A14" s="11"/>
      <c r="B14" s="43" t="s">
        <v>176</v>
      </c>
      <c r="C14" s="47"/>
      <c r="D14" s="17"/>
      <c r="E14" s="17"/>
      <c r="F14" s="22"/>
    </row>
    <row r="15" spans="1:6" x14ac:dyDescent="0.2">
      <c r="A15" s="11"/>
      <c r="B15" s="43" t="s">
        <v>176</v>
      </c>
      <c r="C15" s="47"/>
      <c r="D15" s="17"/>
      <c r="E15" s="17"/>
      <c r="F15" s="22"/>
    </row>
    <row r="16" spans="1:6" x14ac:dyDescent="0.2">
      <c r="A16" s="11"/>
      <c r="B16" s="21"/>
      <c r="C16" s="47"/>
      <c r="D16" s="17"/>
      <c r="E16" s="17"/>
      <c r="F16" s="22"/>
    </row>
    <row r="17" spans="1:6" x14ac:dyDescent="0.2">
      <c r="A17" s="11">
        <v>2</v>
      </c>
      <c r="B17" s="66" t="s">
        <v>528</v>
      </c>
      <c r="C17" s="47"/>
      <c r="D17" s="17"/>
      <c r="E17" s="17"/>
      <c r="F17" s="22"/>
    </row>
    <row r="18" spans="1:6" x14ac:dyDescent="0.2">
      <c r="A18" s="11"/>
      <c r="B18" s="44" t="s">
        <v>497</v>
      </c>
      <c r="C18" s="47"/>
      <c r="D18" s="1595"/>
      <c r="E18" s="1595"/>
      <c r="F18" s="22"/>
    </row>
    <row r="19" spans="1:6" x14ac:dyDescent="0.2">
      <c r="A19" s="11"/>
      <c r="B19" s="121" t="s">
        <v>498</v>
      </c>
      <c r="C19" s="47"/>
      <c r="D19" s="35">
        <f>+'Balance Sheet and P&amp;L'!D204</f>
        <v>26002.764943458002</v>
      </c>
      <c r="E19" s="35">
        <f>+'Balance Sheet and P&amp;L'!E204</f>
        <v>27231.889731275001</v>
      </c>
      <c r="F19" s="22"/>
    </row>
    <row r="20" spans="1:6" x14ac:dyDescent="0.2">
      <c r="A20" s="11"/>
      <c r="B20" s="43" t="s">
        <v>499</v>
      </c>
      <c r="C20" s="47"/>
      <c r="D20" s="35"/>
      <c r="E20" s="35"/>
      <c r="F20" s="22"/>
    </row>
    <row r="21" spans="1:6" x14ac:dyDescent="0.2">
      <c r="A21" s="11"/>
      <c r="B21" s="121" t="s">
        <v>529</v>
      </c>
      <c r="C21" s="47"/>
      <c r="D21" s="35">
        <f>+'Balance Sheet and P&amp;L'!D207</f>
        <v>5564.6297004089993</v>
      </c>
      <c r="E21" s="35">
        <f>+'Balance Sheet and P&amp;L'!E207</f>
        <v>1225.3813603120002</v>
      </c>
      <c r="F21" s="22"/>
    </row>
    <row r="22" spans="1:6" x14ac:dyDescent="0.2">
      <c r="A22" s="11"/>
      <c r="B22" s="121"/>
      <c r="C22" s="47"/>
      <c r="D22" s="35"/>
      <c r="E22" s="35"/>
      <c r="F22" s="22"/>
    </row>
    <row r="23" spans="1:6" x14ac:dyDescent="0.2">
      <c r="A23" s="11"/>
      <c r="B23" s="121"/>
      <c r="C23" s="47"/>
      <c r="D23" s="1595"/>
      <c r="E23" s="1595"/>
      <c r="F23" s="22"/>
    </row>
    <row r="24" spans="1:6" x14ac:dyDescent="0.2">
      <c r="A24" s="11"/>
      <c r="B24" s="121"/>
      <c r="C24" s="47"/>
      <c r="D24" s="1595"/>
      <c r="E24" s="1595"/>
      <c r="F24" s="22"/>
    </row>
    <row r="25" spans="1:6" x14ac:dyDescent="0.2">
      <c r="A25" s="11"/>
      <c r="B25" s="43"/>
      <c r="C25" s="47"/>
      <c r="D25" s="1595"/>
      <c r="E25" s="1595"/>
      <c r="F25" s="22"/>
    </row>
    <row r="26" spans="1:6" x14ac:dyDescent="0.2">
      <c r="A26" s="11"/>
      <c r="B26" s="21" t="s">
        <v>92</v>
      </c>
      <c r="C26" s="47"/>
      <c r="D26" s="1595">
        <f>SUM(D17:D23)</f>
        <v>31567.394643867003</v>
      </c>
      <c r="E26" s="1595">
        <f>SUM(E17:E23)</f>
        <v>28457.271091587001</v>
      </c>
      <c r="F26" s="22"/>
    </row>
    <row r="28" spans="1:6" x14ac:dyDescent="0.2">
      <c r="A28" s="22" t="s">
        <v>530</v>
      </c>
      <c r="B28" s="22"/>
      <c r="C28" s="22"/>
      <c r="D28" s="22"/>
      <c r="E28" s="22"/>
    </row>
    <row r="29" spans="1:6" x14ac:dyDescent="0.2">
      <c r="A29" s="22"/>
      <c r="B29" s="22"/>
      <c r="C29" s="22"/>
      <c r="D29" s="22"/>
      <c r="E29" s="22"/>
    </row>
    <row r="30" spans="1:6" ht="28.5" x14ac:dyDescent="0.2">
      <c r="A30" s="1642" t="s">
        <v>482</v>
      </c>
      <c r="B30" s="1653" t="s">
        <v>63</v>
      </c>
      <c r="C30" s="1642" t="s">
        <v>404</v>
      </c>
      <c r="D30" s="99" t="s">
        <v>65</v>
      </c>
      <c r="E30" s="99" t="s">
        <v>66</v>
      </c>
    </row>
    <row r="31" spans="1:6" x14ac:dyDescent="0.2">
      <c r="A31" s="1642"/>
      <c r="B31" s="1653"/>
      <c r="C31" s="1642"/>
      <c r="D31" s="41" t="s">
        <v>223</v>
      </c>
      <c r="E31" s="41" t="s">
        <v>223</v>
      </c>
    </row>
    <row r="32" spans="1:6" x14ac:dyDescent="0.2">
      <c r="A32" s="11">
        <v>1</v>
      </c>
      <c r="B32" s="10" t="s">
        <v>531</v>
      </c>
      <c r="C32" s="122"/>
      <c r="D32" s="35">
        <f>+'Balance Sheet and P&amp;L'!D213</f>
        <v>263.66342570199998</v>
      </c>
      <c r="E32" s="35">
        <f>+'Balance Sheet and P&amp;L'!E213</f>
        <v>11.769918049000003</v>
      </c>
    </row>
    <row r="33" spans="1:5" x14ac:dyDescent="0.2">
      <c r="A33" s="11">
        <v>2</v>
      </c>
      <c r="B33" s="10" t="s">
        <v>532</v>
      </c>
      <c r="C33" s="58"/>
      <c r="D33" s="35">
        <f>+'Balance Sheet and P&amp;L'!D215</f>
        <v>1.4654745E-2</v>
      </c>
      <c r="E33" s="35">
        <f>+'Balance Sheet and P&amp;L'!E215</f>
        <v>1.7346445000000002E-2</v>
      </c>
    </row>
    <row r="34" spans="1:5" x14ac:dyDescent="0.2">
      <c r="A34" s="11"/>
      <c r="B34" s="10" t="s">
        <v>176</v>
      </c>
      <c r="C34" s="47"/>
      <c r="D34" s="14"/>
      <c r="E34" s="14"/>
    </row>
    <row r="35" spans="1:5" x14ac:dyDescent="0.2">
      <c r="A35" s="11"/>
      <c r="B35" s="21" t="s">
        <v>92</v>
      </c>
      <c r="C35" s="11"/>
      <c r="D35" s="1595">
        <f>SUM(D32:D34)</f>
        <v>263.67808044699996</v>
      </c>
      <c r="E35" s="1595">
        <f>SUM(E32:E34)</f>
        <v>11.787264494000002</v>
      </c>
    </row>
    <row r="38" spans="1:5" x14ac:dyDescent="0.2">
      <c r="A38" s="22" t="s">
        <v>243</v>
      </c>
      <c r="B38" s="3" t="s">
        <v>153</v>
      </c>
    </row>
  </sheetData>
  <mergeCells count="8">
    <mergeCell ref="A2:E2"/>
    <mergeCell ref="B3:D3"/>
    <mergeCell ref="A30:A31"/>
    <mergeCell ref="B30:B31"/>
    <mergeCell ref="C30:C31"/>
    <mergeCell ref="A8:A9"/>
    <mergeCell ref="B8:B9"/>
    <mergeCell ref="C8:C9"/>
  </mergeCells>
  <dataValidations xWindow="978" yWindow="285" count="1">
    <dataValidation allowBlank="1" showInputMessage="1" showErrorMessage="1" promptTitle="Caution" prompt="Put Manual figure here calculated in Rough work._x000a_" sqref="D32:E33"/>
  </dataValidations>
  <printOptions horizontalCentered="1"/>
  <pageMargins left="0.78740157480314965" right="0.39370078740157483" top="0.78740157480314965" bottom="0.19685039370078741" header="0.31496062992125984" footer="0.31496062992125984"/>
  <pageSetup paperSize="9" scale="8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F26"/>
  <sheetViews>
    <sheetView showGridLines="0" view="pageBreakPreview" zoomScale="90" zoomScaleSheetLayoutView="90" workbookViewId="0">
      <selection activeCell="E31" sqref="E31"/>
    </sheetView>
  </sheetViews>
  <sheetFormatPr defaultColWidth="9.140625" defaultRowHeight="15" x14ac:dyDescent="0.2"/>
  <cols>
    <col min="1" max="1" width="8.85546875" style="3" customWidth="1"/>
    <col min="2" max="2" width="41.28515625" style="3" customWidth="1"/>
    <col min="3" max="3" width="13.5703125" style="3" bestFit="1" customWidth="1"/>
    <col min="4" max="5" width="26.7109375" style="3" customWidth="1"/>
    <col min="6" max="6" width="14.7109375" style="3" bestFit="1" customWidth="1"/>
    <col min="7" max="7" width="13.85546875" style="3" bestFit="1" customWidth="1"/>
    <col min="8" max="16384" width="9.140625" style="3"/>
  </cols>
  <sheetData>
    <row r="1" spans="1:6" x14ac:dyDescent="0.2">
      <c r="C1" s="4"/>
    </row>
    <row r="2" spans="1:6" x14ac:dyDescent="0.2">
      <c r="A2" s="1643" t="s">
        <v>0</v>
      </c>
      <c r="B2" s="1643"/>
      <c r="C2" s="1643"/>
      <c r="D2" s="1643"/>
      <c r="E2" s="1643"/>
    </row>
    <row r="3" spans="1:6" x14ac:dyDescent="0.2">
      <c r="C3" s="1" t="s">
        <v>1</v>
      </c>
    </row>
    <row r="4" spans="1:6" x14ac:dyDescent="0.2">
      <c r="C4" s="4"/>
    </row>
    <row r="5" spans="1:6" x14ac:dyDescent="0.2">
      <c r="A5" s="1640" t="s">
        <v>533</v>
      </c>
      <c r="B5" s="1640"/>
      <c r="C5" s="1640"/>
      <c r="D5" s="1640"/>
      <c r="E5" s="22"/>
    </row>
    <row r="6" spans="1:6" x14ac:dyDescent="0.2">
      <c r="A6" s="49"/>
      <c r="B6" s="49"/>
      <c r="C6" s="49"/>
      <c r="D6" s="49"/>
      <c r="E6" s="22"/>
    </row>
    <row r="7" spans="1:6" ht="28.5" x14ac:dyDescent="0.2">
      <c r="A7" s="1642" t="s">
        <v>482</v>
      </c>
      <c r="B7" s="1642" t="s">
        <v>63</v>
      </c>
      <c r="C7" s="1642" t="s">
        <v>222</v>
      </c>
      <c r="D7" s="99" t="s">
        <v>65</v>
      </c>
      <c r="E7" s="99" t="s">
        <v>66</v>
      </c>
    </row>
    <row r="8" spans="1:6" x14ac:dyDescent="0.2">
      <c r="A8" s="1642"/>
      <c r="B8" s="1642"/>
      <c r="C8" s="1642"/>
      <c r="D8" s="41" t="s">
        <v>223</v>
      </c>
      <c r="E8" s="41" t="s">
        <v>223</v>
      </c>
    </row>
    <row r="9" spans="1:6" s="104" customFormat="1" x14ac:dyDescent="0.2">
      <c r="A9" s="11">
        <v>1</v>
      </c>
      <c r="B9" s="10" t="s">
        <v>534</v>
      </c>
      <c r="C9" s="19"/>
      <c r="D9" s="35">
        <f>+'Balance Sheet and P&amp;L'!D223</f>
        <v>1.781401367</v>
      </c>
      <c r="E9" s="35">
        <f>+'Balance Sheet and P&amp;L'!E223</f>
        <v>5.3623333400000002</v>
      </c>
      <c r="F9" s="3"/>
    </row>
    <row r="10" spans="1:6" x14ac:dyDescent="0.2">
      <c r="A10" s="10"/>
      <c r="B10" s="43" t="s">
        <v>176</v>
      </c>
      <c r="C10" s="11"/>
      <c r="D10" s="17"/>
      <c r="E10" s="17"/>
    </row>
    <row r="11" spans="1:6" x14ac:dyDescent="0.2">
      <c r="A11" s="10"/>
      <c r="B11" s="66" t="s">
        <v>92</v>
      </c>
      <c r="C11" s="11"/>
      <c r="D11" s="1595">
        <f>SUM(D9:D10)</f>
        <v>1.781401367</v>
      </c>
      <c r="E11" s="1595">
        <f>SUM(E9:E10)</f>
        <v>5.3623333400000002</v>
      </c>
    </row>
    <row r="12" spans="1:6" x14ac:dyDescent="0.2">
      <c r="B12" s="38"/>
      <c r="C12" s="4"/>
      <c r="D12" s="18"/>
      <c r="E12" s="18"/>
    </row>
    <row r="13" spans="1:6" x14ac:dyDescent="0.2">
      <c r="B13" s="38"/>
      <c r="C13" s="4"/>
      <c r="D13" s="18"/>
      <c r="E13" s="18"/>
    </row>
    <row r="14" spans="1:6" x14ac:dyDescent="0.2">
      <c r="A14" s="49" t="s">
        <v>535</v>
      </c>
      <c r="B14" s="49"/>
      <c r="C14" s="49"/>
      <c r="D14" s="49"/>
      <c r="E14" s="49"/>
    </row>
    <row r="15" spans="1:6" x14ac:dyDescent="0.2">
      <c r="A15" s="49"/>
      <c r="B15" s="49"/>
      <c r="C15" s="49"/>
      <c r="D15" s="49"/>
      <c r="E15" s="49"/>
    </row>
    <row r="16" spans="1:6" ht="28.5" x14ac:dyDescent="0.2">
      <c r="A16" s="1642" t="s">
        <v>482</v>
      </c>
      <c r="B16" s="1642" t="s">
        <v>63</v>
      </c>
      <c r="C16" s="1642" t="s">
        <v>222</v>
      </c>
      <c r="D16" s="99" t="s">
        <v>65</v>
      </c>
      <c r="E16" s="99" t="s">
        <v>66</v>
      </c>
    </row>
    <row r="17" spans="1:6" ht="13.15" customHeight="1" x14ac:dyDescent="0.2">
      <c r="A17" s="1642"/>
      <c r="B17" s="1642"/>
      <c r="C17" s="1642"/>
      <c r="D17" s="41" t="s">
        <v>223</v>
      </c>
      <c r="E17" s="41" t="s">
        <v>223</v>
      </c>
    </row>
    <row r="18" spans="1:6" x14ac:dyDescent="0.2">
      <c r="A18" s="8"/>
      <c r="B18" s="9"/>
      <c r="C18" s="10"/>
      <c r="D18" s="10"/>
      <c r="E18" s="10"/>
    </row>
    <row r="19" spans="1:6" x14ac:dyDescent="0.2">
      <c r="A19" s="11">
        <v>1</v>
      </c>
      <c r="B19" s="10" t="s">
        <v>536</v>
      </c>
      <c r="C19" s="10"/>
      <c r="D19" s="12">
        <f>+'Balance Sheet and P&amp;L'!D220</f>
        <v>1.781401367</v>
      </c>
      <c r="E19" s="12">
        <f>+'Balance Sheet and P&amp;L'!E220</f>
        <v>5.3623333400000002</v>
      </c>
    </row>
    <row r="20" spans="1:6" s="104" customFormat="1" x14ac:dyDescent="0.2">
      <c r="A20" s="8"/>
      <c r="B20" s="10"/>
      <c r="C20" s="10"/>
      <c r="D20" s="14"/>
      <c r="E20" s="14"/>
      <c r="F20" s="3"/>
    </row>
    <row r="21" spans="1:6" x14ac:dyDescent="0.2">
      <c r="A21" s="8"/>
      <c r="B21" s="21"/>
      <c r="C21" s="9"/>
      <c r="D21" s="17"/>
      <c r="E21" s="17"/>
    </row>
    <row r="22" spans="1:6" x14ac:dyDescent="0.2">
      <c r="A22" s="8"/>
      <c r="B22" s="9"/>
      <c r="C22" s="10"/>
      <c r="D22" s="10"/>
      <c r="E22" s="10"/>
    </row>
    <row r="23" spans="1:6" x14ac:dyDescent="0.2">
      <c r="A23" s="10"/>
      <c r="B23" s="9" t="s">
        <v>92</v>
      </c>
      <c r="C23" s="10"/>
      <c r="D23" s="1595">
        <f>SUM(D19:D22)</f>
        <v>1.781401367</v>
      </c>
      <c r="E23" s="1595">
        <f>SUM(E19:E22)</f>
        <v>5.3623333400000002</v>
      </c>
    </row>
    <row r="26" spans="1:6" x14ac:dyDescent="0.2">
      <c r="A26" s="5" t="s">
        <v>243</v>
      </c>
      <c r="B26" s="3" t="s">
        <v>153</v>
      </c>
    </row>
  </sheetData>
  <mergeCells count="8">
    <mergeCell ref="A2:E2"/>
    <mergeCell ref="A16:A17"/>
    <mergeCell ref="A5:D5"/>
    <mergeCell ref="A7:A8"/>
    <mergeCell ref="B7:B8"/>
    <mergeCell ref="C7:C8"/>
    <mergeCell ref="B16:B17"/>
    <mergeCell ref="C16:C17"/>
  </mergeCells>
  <printOptions horizontalCentered="1"/>
  <pageMargins left="0.78740157480314965" right="0.39370078740157483" top="0.78740157480314965" bottom="0.1968503937007874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63"/>
  <sheetViews>
    <sheetView showGridLines="0" view="pageBreakPreview" topLeftCell="A28" zoomScale="80" zoomScaleSheetLayoutView="80" workbookViewId="0">
      <selection activeCell="F9" sqref="F9"/>
    </sheetView>
  </sheetViews>
  <sheetFormatPr defaultColWidth="9.140625" defaultRowHeight="15" x14ac:dyDescent="0.2"/>
  <cols>
    <col min="1" max="1" width="5.7109375" style="3" customWidth="1"/>
    <col min="2" max="2" width="6" style="3" customWidth="1"/>
    <col min="3" max="3" width="5.5703125" style="3" customWidth="1"/>
    <col min="4" max="4" width="40.5703125" style="3" customWidth="1"/>
    <col min="5" max="5" width="7.7109375" style="4" customWidth="1"/>
    <col min="6" max="6" width="29.7109375" style="4" customWidth="1"/>
    <col min="7" max="7" width="29.7109375" style="3" customWidth="1"/>
    <col min="8" max="8" width="18.85546875" style="3" bestFit="1" customWidth="1"/>
    <col min="9" max="9" width="18.42578125" style="3" bestFit="1" customWidth="1"/>
    <col min="10" max="10" width="15.7109375" style="3" bestFit="1" customWidth="1"/>
    <col min="11" max="16384" width="9.140625" style="3"/>
  </cols>
  <sheetData>
    <row r="2" spans="1:9" x14ac:dyDescent="0.2">
      <c r="C2" s="1643" t="s">
        <v>0</v>
      </c>
      <c r="D2" s="1643"/>
      <c r="E2" s="1643"/>
      <c r="F2" s="1643"/>
      <c r="G2" s="1643"/>
    </row>
    <row r="3" spans="1:9" x14ac:dyDescent="0.2">
      <c r="E3" s="1" t="s">
        <v>1</v>
      </c>
    </row>
    <row r="4" spans="1:9" x14ac:dyDescent="0.2">
      <c r="E4" s="2" t="s">
        <v>5</v>
      </c>
    </row>
    <row r="5" spans="1:9" x14ac:dyDescent="0.2">
      <c r="E5" s="2"/>
    </row>
    <row r="6" spans="1:9" x14ac:dyDescent="0.2">
      <c r="E6" s="2"/>
    </row>
    <row r="7" spans="1:9" x14ac:dyDescent="0.2">
      <c r="A7" s="1641" t="s">
        <v>59</v>
      </c>
      <c r="B7" s="1641"/>
      <c r="C7" s="1641"/>
      <c r="D7" s="1641"/>
      <c r="E7" s="1641"/>
      <c r="F7" s="1641"/>
      <c r="G7" s="1641"/>
    </row>
    <row r="8" spans="1:9" x14ac:dyDescent="0.2">
      <c r="A8" s="5"/>
      <c r="B8" s="5"/>
      <c r="C8" s="5"/>
      <c r="D8" s="5"/>
      <c r="E8" s="5"/>
      <c r="F8" s="5"/>
      <c r="G8" s="5"/>
    </row>
    <row r="9" spans="1:9" x14ac:dyDescent="0.2">
      <c r="A9" s="5"/>
      <c r="B9" s="5"/>
      <c r="C9" s="5"/>
      <c r="D9" s="5"/>
      <c r="E9" s="5"/>
      <c r="F9" s="5" t="s">
        <v>60</v>
      </c>
      <c r="G9" s="5" t="s">
        <v>61</v>
      </c>
    </row>
    <row r="10" spans="1:9" ht="28.5" x14ac:dyDescent="0.2">
      <c r="A10" s="6" t="s">
        <v>62</v>
      </c>
      <c r="B10" s="1642" t="s">
        <v>63</v>
      </c>
      <c r="C10" s="1642"/>
      <c r="D10" s="1642"/>
      <c r="E10" s="6" t="s">
        <v>64</v>
      </c>
      <c r="F10" s="6" t="s">
        <v>65</v>
      </c>
      <c r="G10" s="6" t="s">
        <v>66</v>
      </c>
      <c r="H10" s="7"/>
    </row>
    <row r="11" spans="1:9" x14ac:dyDescent="0.2">
      <c r="A11" s="8" t="s">
        <v>67</v>
      </c>
      <c r="B11" s="9" t="s">
        <v>68</v>
      </c>
      <c r="C11" s="9"/>
      <c r="D11" s="10"/>
      <c r="E11" s="11"/>
      <c r="F11" s="12"/>
      <c r="G11" s="12"/>
      <c r="H11" s="13"/>
    </row>
    <row r="12" spans="1:9" x14ac:dyDescent="0.2">
      <c r="A12" s="8">
        <v>1</v>
      </c>
      <c r="B12" s="9" t="s">
        <v>69</v>
      </c>
      <c r="C12" s="9"/>
      <c r="D12" s="10"/>
      <c r="E12" s="11"/>
      <c r="F12" s="12"/>
      <c r="G12" s="12"/>
      <c r="H12" s="13"/>
    </row>
    <row r="13" spans="1:9" x14ac:dyDescent="0.2">
      <c r="A13" s="10"/>
      <c r="B13" s="11" t="s">
        <v>70</v>
      </c>
      <c r="C13" s="10" t="s">
        <v>11</v>
      </c>
      <c r="D13" s="10"/>
      <c r="E13" s="11">
        <v>3</v>
      </c>
      <c r="F13" s="35">
        <f>+'3'!D15</f>
        <v>25918.496225999996</v>
      </c>
      <c r="G13" s="35">
        <f>+'3'!E15</f>
        <v>25450.446225999996</v>
      </c>
      <c r="H13" s="15"/>
      <c r="I13" s="15"/>
    </row>
    <row r="14" spans="1:9" x14ac:dyDescent="0.2">
      <c r="A14" s="10"/>
      <c r="B14" s="11" t="s">
        <v>71</v>
      </c>
      <c r="C14" s="10" t="s">
        <v>72</v>
      </c>
      <c r="D14" s="10"/>
      <c r="E14" s="11">
        <v>4</v>
      </c>
      <c r="F14" s="35">
        <f>+'4'!D33</f>
        <v>-9033.888312791003</v>
      </c>
      <c r="G14" s="35">
        <f>+'4'!E33</f>
        <v>-8223.0677860220021</v>
      </c>
      <c r="H14" s="15"/>
      <c r="I14" s="15"/>
    </row>
    <row r="15" spans="1:9" x14ac:dyDescent="0.2">
      <c r="A15" s="10"/>
      <c r="B15" s="11" t="s">
        <v>73</v>
      </c>
      <c r="C15" s="10" t="s">
        <v>74</v>
      </c>
      <c r="D15" s="10"/>
      <c r="E15" s="11"/>
      <c r="F15" s="11"/>
      <c r="G15" s="11"/>
      <c r="H15" s="15"/>
      <c r="I15" s="15"/>
    </row>
    <row r="16" spans="1:9" x14ac:dyDescent="0.2">
      <c r="A16" s="11"/>
      <c r="B16" s="11"/>
      <c r="C16" s="11"/>
      <c r="D16" s="16"/>
      <c r="F16" s="17"/>
      <c r="G16" s="17"/>
      <c r="H16" s="15"/>
      <c r="I16" s="18"/>
    </row>
    <row r="17" spans="1:10" x14ac:dyDescent="0.2">
      <c r="A17" s="8">
        <v>2</v>
      </c>
      <c r="B17" s="9" t="s">
        <v>75</v>
      </c>
      <c r="C17" s="9"/>
      <c r="D17" s="10"/>
      <c r="E17" s="11"/>
      <c r="F17" s="35">
        <f>+'4'!D35</f>
        <v>91.14101530401723</v>
      </c>
      <c r="G17" s="35">
        <f>+'4'!E35</f>
        <v>468.05001187801292</v>
      </c>
      <c r="H17" s="15"/>
      <c r="I17" s="15"/>
    </row>
    <row r="18" spans="1:10" x14ac:dyDescent="0.2">
      <c r="A18" s="8">
        <v>3</v>
      </c>
      <c r="B18" s="9" t="s">
        <v>76</v>
      </c>
      <c r="C18" s="9"/>
      <c r="D18" s="10"/>
      <c r="E18" s="11"/>
      <c r="F18" s="10"/>
      <c r="G18" s="10"/>
      <c r="H18" s="15"/>
      <c r="I18" s="15"/>
    </row>
    <row r="19" spans="1:10" x14ac:dyDescent="0.2">
      <c r="A19" s="10"/>
      <c r="B19" s="11" t="s">
        <v>70</v>
      </c>
      <c r="C19" s="10" t="s">
        <v>77</v>
      </c>
      <c r="D19" s="10"/>
      <c r="E19" s="11"/>
      <c r="F19" s="11"/>
      <c r="G19" s="11"/>
      <c r="H19" s="15"/>
      <c r="I19" s="15"/>
    </row>
    <row r="20" spans="1:10" x14ac:dyDescent="0.2">
      <c r="A20" s="10"/>
      <c r="B20" s="10"/>
      <c r="C20" s="11" t="s">
        <v>78</v>
      </c>
      <c r="D20" s="10" t="s">
        <v>79</v>
      </c>
      <c r="E20" s="11">
        <v>5</v>
      </c>
      <c r="F20" s="35">
        <f>+'Balance Sheet and P&amp;L'!D260+'Balance Sheet and P&amp;L'!D261</f>
        <v>24271.388912997427</v>
      </c>
      <c r="G20" s="35">
        <f>+'Balance Sheet and P&amp;L'!E260+'Balance Sheet and P&amp;L'!E261</f>
        <v>21690.702560220834</v>
      </c>
      <c r="H20" s="15"/>
      <c r="I20" s="15"/>
    </row>
    <row r="21" spans="1:10" x14ac:dyDescent="0.2">
      <c r="A21" s="10"/>
      <c r="B21" s="10"/>
      <c r="C21" s="11" t="s">
        <v>80</v>
      </c>
      <c r="D21" s="10" t="s">
        <v>81</v>
      </c>
      <c r="E21" s="19">
        <v>5.0999999999999996</v>
      </c>
      <c r="F21" s="35">
        <f>+'Balance Sheet and P&amp;L'!D265+'Balance Sheet and P&amp;L'!D266+'Balance Sheet and P&amp;L'!D267+'Balance Sheet and P&amp;L'!D268</f>
        <v>415.95047189999997</v>
      </c>
      <c r="G21" s="35">
        <f>+'Balance Sheet and P&amp;L'!E265+'Balance Sheet and P&amp;L'!E266+'Balance Sheet and P&amp;L'!E267+'Balance Sheet and P&amp;L'!E268</f>
        <v>520.48865055800002</v>
      </c>
      <c r="H21" s="15"/>
      <c r="I21" s="15"/>
    </row>
    <row r="22" spans="1:10" x14ac:dyDescent="0.2">
      <c r="A22" s="10"/>
      <c r="B22" s="10"/>
      <c r="C22" s="1596" t="s">
        <v>82</v>
      </c>
      <c r="D22" s="10"/>
      <c r="E22" s="19"/>
      <c r="F22" s="35">
        <f>+'Balance Sheet and P&amp;L'!D43</f>
        <v>2926.5594399255865</v>
      </c>
      <c r="G22" s="35">
        <f>+'Balance Sheet and P&amp;L'!E43</f>
        <v>3069.8995987232825</v>
      </c>
      <c r="H22" s="15"/>
      <c r="I22" s="15"/>
    </row>
    <row r="23" spans="1:10" x14ac:dyDescent="0.2">
      <c r="A23" s="10"/>
      <c r="B23" s="11" t="s">
        <v>71</v>
      </c>
      <c r="C23" s="10" t="s">
        <v>83</v>
      </c>
      <c r="D23" s="10"/>
      <c r="E23" s="19"/>
      <c r="F23" s="35">
        <f>+'6 &amp; 7'!D29</f>
        <v>334.28806329999998</v>
      </c>
      <c r="G23" s="35">
        <f>+'6 &amp; 7'!E29</f>
        <v>556.66773599999999</v>
      </c>
      <c r="H23" s="15"/>
      <c r="I23" s="15"/>
    </row>
    <row r="24" spans="1:10" x14ac:dyDescent="0.2">
      <c r="A24" s="10"/>
      <c r="B24" s="11" t="s">
        <v>73</v>
      </c>
      <c r="C24" s="10" t="s">
        <v>84</v>
      </c>
      <c r="D24" s="10"/>
      <c r="E24" s="11">
        <v>6</v>
      </c>
      <c r="F24" s="35">
        <f>+'6 &amp; 7'!D16</f>
        <v>654.67374213900007</v>
      </c>
      <c r="G24" s="35">
        <f>+'6 &amp; 7'!E16</f>
        <v>289.46240933900003</v>
      </c>
      <c r="H24" s="15"/>
      <c r="I24" s="15"/>
    </row>
    <row r="25" spans="1:10" x14ac:dyDescent="0.2">
      <c r="A25" s="10"/>
      <c r="B25" s="11" t="s">
        <v>85</v>
      </c>
      <c r="C25" s="10" t="s">
        <v>86</v>
      </c>
      <c r="D25" s="10"/>
      <c r="E25" s="11">
        <v>7</v>
      </c>
      <c r="F25" s="35">
        <f>+'6 &amp; 7'!D27</f>
        <v>1153.4486072999998</v>
      </c>
      <c r="G25" s="35">
        <f>+'6 &amp; 7'!E27</f>
        <v>1111.5373132</v>
      </c>
      <c r="H25" s="15"/>
      <c r="I25" s="15"/>
    </row>
    <row r="26" spans="1:10" x14ac:dyDescent="0.2">
      <c r="A26" s="11"/>
      <c r="B26" s="11"/>
      <c r="C26" s="11"/>
      <c r="D26" s="16"/>
      <c r="E26" s="11"/>
      <c r="F26" s="1595"/>
      <c r="G26" s="1595"/>
      <c r="H26" s="15"/>
      <c r="I26" s="15"/>
    </row>
    <row r="27" spans="1:10" x14ac:dyDescent="0.2">
      <c r="A27" s="8">
        <v>4</v>
      </c>
      <c r="B27" s="9" t="s">
        <v>87</v>
      </c>
      <c r="C27" s="8"/>
      <c r="D27" s="10"/>
      <c r="E27" s="11"/>
      <c r="F27" s="35"/>
      <c r="G27" s="35"/>
      <c r="H27" s="15"/>
      <c r="I27" s="15"/>
    </row>
    <row r="28" spans="1:10" x14ac:dyDescent="0.2">
      <c r="A28" s="10"/>
      <c r="B28" s="11" t="s">
        <v>70</v>
      </c>
      <c r="C28" s="10" t="s">
        <v>88</v>
      </c>
      <c r="D28" s="10"/>
      <c r="E28" s="11">
        <v>8</v>
      </c>
      <c r="F28" s="35">
        <f>+'8'!F33</f>
        <v>17272.726526849568</v>
      </c>
      <c r="G28" s="35">
        <f>+'8'!G33</f>
        <v>17299.429266224164</v>
      </c>
      <c r="H28" s="15"/>
      <c r="I28" s="15"/>
    </row>
    <row r="29" spans="1:10" x14ac:dyDescent="0.2">
      <c r="A29" s="10"/>
      <c r="B29" s="11"/>
      <c r="C29" s="1596" t="s">
        <v>82</v>
      </c>
      <c r="D29" s="10"/>
      <c r="E29" s="11"/>
      <c r="F29" s="35">
        <f>+'9'!D39</f>
        <v>143.34015883641359</v>
      </c>
      <c r="G29" s="35">
        <f>+'9'!E39</f>
        <v>161.37657508971779</v>
      </c>
      <c r="H29" s="15"/>
      <c r="I29" s="15"/>
    </row>
    <row r="30" spans="1:10" x14ac:dyDescent="0.2">
      <c r="A30" s="10"/>
      <c r="B30" s="11" t="s">
        <v>71</v>
      </c>
      <c r="C30" s="10" t="s">
        <v>89</v>
      </c>
      <c r="D30" s="10"/>
      <c r="E30" s="11"/>
      <c r="F30" s="1597">
        <f>+'9'!D36</f>
        <v>8103.1883832429994</v>
      </c>
      <c r="G30" s="1597">
        <f>+'9'!E36</f>
        <v>6653.439063114999</v>
      </c>
      <c r="H30" s="15"/>
      <c r="I30" s="15"/>
    </row>
    <row r="31" spans="1:10" x14ac:dyDescent="0.2">
      <c r="A31" s="10"/>
      <c r="B31" s="11" t="s">
        <v>73</v>
      </c>
      <c r="C31" s="10" t="s">
        <v>90</v>
      </c>
      <c r="D31" s="10"/>
      <c r="E31" s="11">
        <v>9</v>
      </c>
      <c r="F31" s="35">
        <f>+'9'!D35</f>
        <v>4356.3027900809993</v>
      </c>
      <c r="G31" s="35">
        <f>+'9'!E35</f>
        <v>3814.4046768519997</v>
      </c>
      <c r="H31" s="15"/>
      <c r="I31" s="15"/>
      <c r="J31" s="20"/>
    </row>
    <row r="32" spans="1:10" x14ac:dyDescent="0.2">
      <c r="A32" s="10"/>
      <c r="B32" s="11" t="s">
        <v>85</v>
      </c>
      <c r="C32" s="10" t="s">
        <v>91</v>
      </c>
      <c r="D32" s="10"/>
      <c r="E32" s="11">
        <v>10</v>
      </c>
      <c r="F32" s="35">
        <f>+'10'!D13</f>
        <v>239.07374370900004</v>
      </c>
      <c r="G32" s="35">
        <f>+'10'!E13</f>
        <v>265.22147626999993</v>
      </c>
      <c r="H32" s="15"/>
      <c r="I32" s="15"/>
    </row>
    <row r="33" spans="1:9" x14ac:dyDescent="0.2">
      <c r="A33" s="11"/>
      <c r="B33" s="11"/>
      <c r="C33" s="11"/>
      <c r="D33" s="16"/>
      <c r="E33" s="11"/>
      <c r="F33" s="1595"/>
      <c r="G33" s="1595"/>
      <c r="H33" s="15"/>
      <c r="I33" s="15"/>
    </row>
    <row r="34" spans="1:9" x14ac:dyDescent="0.2">
      <c r="A34" s="9"/>
      <c r="B34" s="9"/>
      <c r="C34" s="9"/>
      <c r="D34" s="21" t="s">
        <v>92</v>
      </c>
      <c r="E34" s="11"/>
      <c r="F34" s="1595">
        <f>SUM(F13:F33)</f>
        <v>76846.689768794007</v>
      </c>
      <c r="G34" s="1595">
        <f>SUM(G13:G33)</f>
        <v>73128.057777448019</v>
      </c>
      <c r="H34" s="18"/>
      <c r="I34" s="15"/>
    </row>
    <row r="35" spans="1:9" x14ac:dyDescent="0.2">
      <c r="A35" s="8" t="s">
        <v>93</v>
      </c>
      <c r="B35" s="9" t="s">
        <v>94</v>
      </c>
      <c r="C35" s="8"/>
      <c r="D35" s="10"/>
      <c r="E35" s="11"/>
      <c r="F35" s="35"/>
      <c r="G35" s="35"/>
      <c r="H35" s="15"/>
      <c r="I35" s="15"/>
    </row>
    <row r="36" spans="1:9" x14ac:dyDescent="0.2">
      <c r="A36" s="8">
        <v>1</v>
      </c>
      <c r="B36" s="9" t="s">
        <v>95</v>
      </c>
      <c r="C36" s="8"/>
      <c r="D36" s="10"/>
      <c r="E36" s="8"/>
      <c r="F36" s="35"/>
      <c r="G36" s="35"/>
      <c r="H36" s="15"/>
      <c r="I36" s="15"/>
    </row>
    <row r="37" spans="1:9" x14ac:dyDescent="0.2">
      <c r="A37" s="10"/>
      <c r="B37" s="11" t="s">
        <v>70</v>
      </c>
      <c r="C37" s="10" t="s">
        <v>96</v>
      </c>
      <c r="D37" s="10"/>
      <c r="E37" s="11"/>
      <c r="F37" s="35"/>
      <c r="G37" s="35"/>
      <c r="H37" s="15"/>
      <c r="I37" s="15"/>
    </row>
    <row r="38" spans="1:9" x14ac:dyDescent="0.2">
      <c r="A38" s="10"/>
      <c r="B38" s="16"/>
      <c r="C38" s="11" t="s">
        <v>78</v>
      </c>
      <c r="D38" s="10" t="s">
        <v>97</v>
      </c>
      <c r="E38" s="11">
        <v>11</v>
      </c>
      <c r="F38" s="35">
        <f>+'11'!J19</f>
        <v>31040.513030072987</v>
      </c>
      <c r="G38" s="35">
        <f>+'11'!K19</f>
        <v>32774.723768455988</v>
      </c>
      <c r="H38" s="15"/>
      <c r="I38" s="15"/>
    </row>
    <row r="39" spans="1:9" x14ac:dyDescent="0.2">
      <c r="A39" s="10"/>
      <c r="B39" s="16"/>
      <c r="C39" s="11"/>
      <c r="D39" s="1596" t="s">
        <v>98</v>
      </c>
      <c r="E39" s="11"/>
      <c r="F39" s="35">
        <f>+'11'!J21</f>
        <v>3419.2373834</v>
      </c>
      <c r="G39" s="35">
        <f>+'11'!K21</f>
        <v>3673.0598977</v>
      </c>
      <c r="H39" s="15"/>
      <c r="I39" s="15"/>
    </row>
    <row r="40" spans="1:9" x14ac:dyDescent="0.2">
      <c r="A40" s="10"/>
      <c r="B40" s="16"/>
      <c r="C40" s="11" t="s">
        <v>80</v>
      </c>
      <c r="D40" s="10" t="s">
        <v>99</v>
      </c>
      <c r="E40" s="11"/>
      <c r="F40" s="35">
        <f>+'11'!J22</f>
        <v>4.2940700680000035</v>
      </c>
      <c r="G40" s="35">
        <f>+'11'!K22</f>
        <v>3.1431939830000033</v>
      </c>
      <c r="H40" s="15"/>
      <c r="I40" s="15"/>
    </row>
    <row r="41" spans="1:9" x14ac:dyDescent="0.2">
      <c r="A41" s="10"/>
      <c r="B41" s="16"/>
      <c r="C41" s="11" t="s">
        <v>100</v>
      </c>
      <c r="D41" s="10" t="s">
        <v>101</v>
      </c>
      <c r="E41" s="11">
        <v>12</v>
      </c>
      <c r="F41" s="35">
        <f>+'12'!D26</f>
        <v>5793.8387556899979</v>
      </c>
      <c r="G41" s="35">
        <f>+'12'!E26</f>
        <v>4703.5082972989994</v>
      </c>
      <c r="H41" s="15"/>
      <c r="I41" s="15"/>
    </row>
    <row r="42" spans="1:9" x14ac:dyDescent="0.2">
      <c r="A42" s="10"/>
      <c r="B42" s="16"/>
      <c r="C42" s="11" t="s">
        <v>102</v>
      </c>
      <c r="D42" s="10" t="s">
        <v>103</v>
      </c>
      <c r="E42" s="11"/>
      <c r="F42" s="1597">
        <f>+'12'!D27</f>
        <v>574.16186102100005</v>
      </c>
      <c r="G42" s="1597">
        <f>+'12'!E27</f>
        <v>378.067937207</v>
      </c>
      <c r="H42" s="15"/>
      <c r="I42" s="15"/>
    </row>
    <row r="43" spans="1:9" x14ac:dyDescent="0.2">
      <c r="A43" s="10"/>
      <c r="B43" s="11" t="s">
        <v>71</v>
      </c>
      <c r="C43" s="10" t="s">
        <v>104</v>
      </c>
      <c r="D43" s="10"/>
      <c r="E43" s="11"/>
      <c r="F43" s="1597">
        <f>+'14'!D10</f>
        <v>2.3909302000000068</v>
      </c>
      <c r="G43" s="1597">
        <f>+'14'!E10</f>
        <v>2.2916032999999985</v>
      </c>
      <c r="H43" s="15"/>
      <c r="I43" s="15"/>
    </row>
    <row r="44" spans="1:9" x14ac:dyDescent="0.2">
      <c r="A44" s="10"/>
      <c r="B44" s="11" t="s">
        <v>73</v>
      </c>
      <c r="C44" s="10" t="s">
        <v>105</v>
      </c>
      <c r="D44" s="10"/>
      <c r="E44" s="11"/>
      <c r="F44" s="1597">
        <v>0</v>
      </c>
      <c r="G44" s="1597">
        <v>0</v>
      </c>
      <c r="H44" s="15"/>
      <c r="I44" s="15"/>
    </row>
    <row r="45" spans="1:9" x14ac:dyDescent="0.2">
      <c r="A45" s="10"/>
      <c r="B45" s="11" t="s">
        <v>85</v>
      </c>
      <c r="C45" s="10" t="s">
        <v>106</v>
      </c>
      <c r="D45" s="10"/>
      <c r="E45" s="11">
        <v>13</v>
      </c>
      <c r="F45" s="35">
        <f>+'13'!D30</f>
        <v>621.92883314599987</v>
      </c>
      <c r="G45" s="35">
        <f>+'13'!E30</f>
        <v>431.95504896200032</v>
      </c>
      <c r="H45" s="15"/>
      <c r="I45" s="15"/>
    </row>
    <row r="46" spans="1:9" x14ac:dyDescent="0.2">
      <c r="A46" s="10"/>
      <c r="B46" s="11" t="s">
        <v>107</v>
      </c>
      <c r="C46" s="10" t="s">
        <v>108</v>
      </c>
      <c r="D46" s="10"/>
      <c r="E46" s="11">
        <v>14</v>
      </c>
      <c r="F46" s="35">
        <f>+'14'!D13</f>
        <v>91.206204</v>
      </c>
      <c r="G46" s="35">
        <f>+'14'!E13</f>
        <v>89.062062800000007</v>
      </c>
      <c r="H46" s="15"/>
      <c r="I46" s="15"/>
    </row>
    <row r="47" spans="1:9" x14ac:dyDescent="0.2">
      <c r="A47" s="11"/>
      <c r="B47" s="11"/>
      <c r="C47" s="11"/>
      <c r="D47" s="16"/>
      <c r="E47" s="11"/>
      <c r="F47" s="1595"/>
      <c r="G47" s="1595"/>
      <c r="H47" s="15"/>
      <c r="I47" s="15"/>
    </row>
    <row r="48" spans="1:9" x14ac:dyDescent="0.2">
      <c r="A48" s="8">
        <v>2</v>
      </c>
      <c r="B48" s="9" t="s">
        <v>109</v>
      </c>
      <c r="C48" s="8"/>
      <c r="D48" s="10"/>
      <c r="E48" s="11"/>
      <c r="F48" s="1594"/>
      <c r="G48" s="1594"/>
      <c r="H48" s="15"/>
      <c r="I48" s="15"/>
    </row>
    <row r="49" spans="1:9" x14ac:dyDescent="0.2">
      <c r="A49" s="10"/>
      <c r="B49" s="11" t="s">
        <v>70</v>
      </c>
      <c r="C49" s="10" t="s">
        <v>110</v>
      </c>
      <c r="D49" s="10"/>
      <c r="E49" s="11"/>
      <c r="F49" s="1594"/>
      <c r="G49" s="1594"/>
      <c r="H49" s="15"/>
      <c r="I49" s="15"/>
    </row>
    <row r="50" spans="1:9" x14ac:dyDescent="0.2">
      <c r="A50" s="10"/>
      <c r="B50" s="11" t="s">
        <v>71</v>
      </c>
      <c r="C50" s="10" t="s">
        <v>35</v>
      </c>
      <c r="D50" s="10"/>
      <c r="E50" s="11">
        <v>15</v>
      </c>
      <c r="F50" s="35">
        <f>+'15'!D23</f>
        <v>2114.7825896699997</v>
      </c>
      <c r="G50" s="35">
        <f>+'15'!E23</f>
        <v>1255.7611796319998</v>
      </c>
      <c r="H50" s="15"/>
      <c r="I50" s="15"/>
    </row>
    <row r="51" spans="1:9" x14ac:dyDescent="0.2">
      <c r="A51" s="10"/>
      <c r="B51" s="11" t="s">
        <v>73</v>
      </c>
      <c r="C51" s="10" t="s">
        <v>111</v>
      </c>
      <c r="D51" s="10"/>
      <c r="E51" s="11">
        <v>16</v>
      </c>
      <c r="F51" s="35">
        <f>+'16 &amp; 17'!D26</f>
        <v>31567.394643867003</v>
      </c>
      <c r="G51" s="35">
        <f>+'16 &amp; 17'!E26</f>
        <v>28457.271091587001</v>
      </c>
      <c r="H51" s="15"/>
      <c r="I51" s="15"/>
    </row>
    <row r="52" spans="1:9" x14ac:dyDescent="0.2">
      <c r="A52" s="10"/>
      <c r="B52" s="11" t="s">
        <v>85</v>
      </c>
      <c r="C52" s="10" t="s">
        <v>112</v>
      </c>
      <c r="D52" s="10"/>
      <c r="E52" s="11">
        <v>17</v>
      </c>
      <c r="F52" s="35">
        <f>+'16 &amp; 17'!D35</f>
        <v>263.67808044699996</v>
      </c>
      <c r="G52" s="35">
        <f>+'16 &amp; 17'!E35</f>
        <v>11.787264494000002</v>
      </c>
      <c r="H52" s="15"/>
      <c r="I52" s="15"/>
    </row>
    <row r="53" spans="1:9" x14ac:dyDescent="0.2">
      <c r="A53" s="10"/>
      <c r="B53" s="11" t="s">
        <v>107</v>
      </c>
      <c r="C53" s="10" t="s">
        <v>113</v>
      </c>
      <c r="D53" s="10"/>
      <c r="E53" s="11">
        <v>18</v>
      </c>
      <c r="F53" s="35">
        <f>+'18'!D11</f>
        <v>1.781401367</v>
      </c>
      <c r="G53" s="35">
        <f>+'18'!E11</f>
        <v>5.3623333400000002</v>
      </c>
      <c r="H53" s="15"/>
      <c r="I53" s="15"/>
    </row>
    <row r="54" spans="1:9" x14ac:dyDescent="0.2">
      <c r="A54" s="10"/>
      <c r="B54" s="11" t="s">
        <v>114</v>
      </c>
      <c r="C54" s="10" t="s">
        <v>115</v>
      </c>
      <c r="D54" s="10"/>
      <c r="E54" s="11">
        <v>19</v>
      </c>
      <c r="F54" s="35">
        <f>+'19'!D18</f>
        <v>326.40493493700001</v>
      </c>
      <c r="G54" s="35">
        <f>+'19'!E18</f>
        <v>325.33570108999999</v>
      </c>
      <c r="H54" s="15"/>
      <c r="I54" s="15"/>
    </row>
    <row r="55" spans="1:9" x14ac:dyDescent="0.2">
      <c r="A55" s="10"/>
      <c r="B55" s="11" t="s">
        <v>116</v>
      </c>
      <c r="C55" s="10" t="s">
        <v>117</v>
      </c>
      <c r="D55" s="10"/>
      <c r="E55" s="11">
        <v>19</v>
      </c>
      <c r="F55" s="35">
        <f>+'19'!D25</f>
        <v>905.532191356</v>
      </c>
      <c r="G55" s="35">
        <f>+'19'!E25</f>
        <v>895.69076327599976</v>
      </c>
      <c r="H55" s="15"/>
      <c r="I55" s="15"/>
    </row>
    <row r="56" spans="1:9" x14ac:dyDescent="0.2">
      <c r="A56" s="10"/>
      <c r="B56" s="11" t="s">
        <v>118</v>
      </c>
      <c r="C56" s="1644" t="s">
        <v>119</v>
      </c>
      <c r="D56" s="1645"/>
      <c r="E56" s="11"/>
      <c r="F56" s="35">
        <f>+'19'!D29</f>
        <v>119.54817991200002</v>
      </c>
      <c r="G56" s="35">
        <f>+'19'!E29</f>
        <v>121.03762497100001</v>
      </c>
      <c r="H56" s="15"/>
      <c r="I56" s="15"/>
    </row>
    <row r="57" spans="1:9" x14ac:dyDescent="0.2">
      <c r="A57" s="9"/>
      <c r="B57" s="9"/>
      <c r="C57" s="9"/>
      <c r="D57" s="21" t="s">
        <v>92</v>
      </c>
      <c r="E57" s="11"/>
      <c r="F57" s="1595">
        <f>SUM(F38:F56)</f>
        <v>76846.693089154011</v>
      </c>
      <c r="G57" s="1595">
        <f>SUM(G38:G56)</f>
        <v>73128.057768097002</v>
      </c>
      <c r="H57" s="18"/>
      <c r="I57" s="15"/>
    </row>
    <row r="58" spans="1:9" x14ac:dyDescent="0.2">
      <c r="A58" s="10"/>
      <c r="C58" s="9"/>
      <c r="D58" s="9"/>
      <c r="E58" s="11"/>
      <c r="F58" s="9"/>
      <c r="G58" s="9"/>
      <c r="H58" s="15"/>
      <c r="I58" s="15"/>
    </row>
    <row r="59" spans="1:9" x14ac:dyDescent="0.2">
      <c r="A59" s="10"/>
      <c r="B59" s="9" t="s">
        <v>120</v>
      </c>
      <c r="C59" s="9"/>
      <c r="D59" s="9"/>
      <c r="E59" s="9"/>
      <c r="F59" s="9"/>
      <c r="G59" s="9"/>
      <c r="H59" s="20"/>
      <c r="I59" s="20"/>
    </row>
    <row r="60" spans="1:9" x14ac:dyDescent="0.2">
      <c r="A60" s="10"/>
      <c r="B60" s="10"/>
      <c r="C60" s="10"/>
      <c r="D60" s="10"/>
      <c r="E60" s="11"/>
      <c r="F60" s="11"/>
      <c r="G60" s="10"/>
    </row>
    <row r="61" spans="1:9" x14ac:dyDescent="0.2">
      <c r="A61" s="10"/>
      <c r="B61" s="9" t="s">
        <v>121</v>
      </c>
      <c r="C61" s="10"/>
      <c r="D61" s="10"/>
      <c r="E61" s="11"/>
      <c r="F61" s="11"/>
      <c r="G61" s="10"/>
    </row>
    <row r="62" spans="1:9" x14ac:dyDescent="0.2">
      <c r="F62" s="4">
        <f>+F34-F57</f>
        <v>-3.3203600032720715E-3</v>
      </c>
      <c r="G62" s="4">
        <f>+G34-G57</f>
        <v>9.3510170700028539E-6</v>
      </c>
    </row>
    <row r="63" spans="1:9" x14ac:dyDescent="0.2">
      <c r="A63" s="1640" t="s">
        <v>122</v>
      </c>
      <c r="B63" s="1640"/>
      <c r="C63" s="1640"/>
      <c r="D63" s="1640"/>
      <c r="E63" s="1640"/>
      <c r="F63" s="1640"/>
    </row>
  </sheetData>
  <mergeCells count="5">
    <mergeCell ref="A63:F63"/>
    <mergeCell ref="A7:G7"/>
    <mergeCell ref="B10:D10"/>
    <mergeCell ref="C2:G2"/>
    <mergeCell ref="C56:D56"/>
  </mergeCells>
  <printOptions horizontalCentered="1"/>
  <pageMargins left="0.78740157480314965" right="0.39370078740157483" top="0.19685039370078741" bottom="0.19685039370078741" header="0.31496062992125984" footer="0.31496062992125984"/>
  <pageSetup paperSize="9" scale="7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2:H45"/>
  <sheetViews>
    <sheetView showGridLines="0" view="pageBreakPreview" zoomScaleNormal="115" zoomScaleSheetLayoutView="100" workbookViewId="0">
      <selection activeCell="D25" sqref="D25"/>
    </sheetView>
  </sheetViews>
  <sheetFormatPr defaultColWidth="9.140625" defaultRowHeight="15" x14ac:dyDescent="0.2"/>
  <cols>
    <col min="1" max="1" width="7.7109375" style="3" bestFit="1" customWidth="1"/>
    <col min="2" max="2" width="45.140625" style="3" customWidth="1"/>
    <col min="3" max="3" width="13.42578125" style="3" customWidth="1"/>
    <col min="4" max="5" width="21.140625" style="3" customWidth="1"/>
    <col min="6" max="6" width="14.85546875" style="3" bestFit="1" customWidth="1"/>
    <col min="7" max="7" width="14" style="3" bestFit="1" customWidth="1"/>
    <col min="8" max="8" width="13.85546875" style="3" bestFit="1" customWidth="1"/>
    <col min="9" max="16384" width="9.140625" style="3"/>
  </cols>
  <sheetData>
    <row r="2" spans="1:5" x14ac:dyDescent="0.2">
      <c r="A2" s="1643" t="s">
        <v>0</v>
      </c>
      <c r="B2" s="1643"/>
      <c r="C2" s="1643"/>
      <c r="D2" s="1643"/>
      <c r="E2" s="1643"/>
    </row>
    <row r="3" spans="1:5" x14ac:dyDescent="0.2">
      <c r="C3" s="1" t="s">
        <v>1</v>
      </c>
    </row>
    <row r="4" spans="1:5" x14ac:dyDescent="0.2">
      <c r="C4" s="4"/>
    </row>
    <row r="5" spans="1:5" x14ac:dyDescent="0.2">
      <c r="A5" s="22" t="s">
        <v>537</v>
      </c>
      <c r="B5" s="22"/>
      <c r="C5" s="22"/>
      <c r="D5" s="22"/>
      <c r="E5" s="22"/>
    </row>
    <row r="6" spans="1:5" x14ac:dyDescent="0.2">
      <c r="A6" s="22"/>
      <c r="B6" s="22"/>
      <c r="C6" s="22"/>
      <c r="D6" s="22"/>
      <c r="E6" s="22"/>
    </row>
    <row r="7" spans="1:5" ht="42.75" x14ac:dyDescent="0.2">
      <c r="A7" s="1653" t="s">
        <v>510</v>
      </c>
      <c r="B7" s="1653" t="s">
        <v>63</v>
      </c>
      <c r="C7" s="1642" t="s">
        <v>222</v>
      </c>
      <c r="D7" s="99" t="s">
        <v>65</v>
      </c>
      <c r="E7" s="99" t="s">
        <v>66</v>
      </c>
    </row>
    <row r="8" spans="1:5" x14ac:dyDescent="0.2">
      <c r="A8" s="1653"/>
      <c r="B8" s="1653"/>
      <c r="C8" s="1642"/>
      <c r="D8" s="41" t="s">
        <v>223</v>
      </c>
      <c r="E8" s="41" t="s">
        <v>223</v>
      </c>
    </row>
    <row r="9" spans="1:5" x14ac:dyDescent="0.2">
      <c r="A9" s="11"/>
      <c r="B9" s="43"/>
      <c r="C9" s="47"/>
      <c r="D9" s="14"/>
      <c r="E9" s="14"/>
    </row>
    <row r="10" spans="1:5" x14ac:dyDescent="0.2">
      <c r="A10" s="11"/>
      <c r="B10" s="43" t="s">
        <v>538</v>
      </c>
      <c r="C10" s="47"/>
      <c r="D10" s="35">
        <f>+'Balance Sheet and P&amp;L'!D227</f>
        <v>3.9865038089999998</v>
      </c>
      <c r="E10" s="35">
        <f>+'Balance Sheet and P&amp;L'!E227</f>
        <v>3.0424724009999999</v>
      </c>
    </row>
    <row r="11" spans="1:5" x14ac:dyDescent="0.2">
      <c r="A11" s="11"/>
      <c r="B11" s="43" t="s">
        <v>539</v>
      </c>
      <c r="C11" s="47"/>
      <c r="D11" s="35">
        <f>+'Balance Sheet and P&amp;L'!D228</f>
        <v>27.608270213999997</v>
      </c>
      <c r="E11" s="35">
        <f>+'Balance Sheet and P&amp;L'!E228</f>
        <v>29.005027813999998</v>
      </c>
    </row>
    <row r="12" spans="1:5" x14ac:dyDescent="0.2">
      <c r="A12" s="11"/>
      <c r="B12" s="10" t="s">
        <v>540</v>
      </c>
      <c r="C12" s="47"/>
      <c r="D12" s="35">
        <f>+'Balance Sheet and P&amp;L'!D229</f>
        <v>2.940679668</v>
      </c>
      <c r="E12" s="35">
        <f>+'Balance Sheet and P&amp;L'!E229</f>
        <v>2.0145718000000001</v>
      </c>
    </row>
    <row r="13" spans="1:5" x14ac:dyDescent="0.2">
      <c r="A13" s="11"/>
      <c r="B13" s="43" t="s">
        <v>541</v>
      </c>
      <c r="C13" s="47"/>
      <c r="D13" s="35">
        <f>+'Balance Sheet and P&amp;L'!D230</f>
        <v>110.951158273</v>
      </c>
      <c r="E13" s="35">
        <f>+'Balance Sheet and P&amp;L'!E230</f>
        <v>111.33233335199999</v>
      </c>
    </row>
    <row r="14" spans="1:5" x14ac:dyDescent="0.2">
      <c r="A14" s="11"/>
      <c r="B14" s="10" t="s">
        <v>542</v>
      </c>
      <c r="C14" s="47"/>
      <c r="D14" s="35">
        <f>+'Balance Sheet and P&amp;L'!D231</f>
        <v>15.470166000000001</v>
      </c>
      <c r="E14" s="35">
        <f>+'Balance Sheet and P&amp;L'!E231</f>
        <v>15.886483</v>
      </c>
    </row>
    <row r="15" spans="1:5" x14ac:dyDescent="0.2">
      <c r="A15" s="11"/>
      <c r="B15" s="10" t="s">
        <v>543</v>
      </c>
      <c r="C15" s="47"/>
      <c r="D15" s="35">
        <f>+'Balance Sheet and P&amp;L'!D232</f>
        <v>1.7416499999999999</v>
      </c>
      <c r="E15" s="35">
        <f>+'Balance Sheet and P&amp;L'!E232</f>
        <v>1.9577500000000001</v>
      </c>
    </row>
    <row r="16" spans="1:5" x14ac:dyDescent="0.2">
      <c r="A16" s="11"/>
      <c r="B16" s="43" t="s">
        <v>544</v>
      </c>
      <c r="C16" s="47"/>
      <c r="D16" s="35">
        <f>+'Balance Sheet and P&amp;L'!D233</f>
        <v>163.70650697299999</v>
      </c>
      <c r="E16" s="35">
        <f>+'Balance Sheet and P&amp;L'!E233</f>
        <v>162.09706272299999</v>
      </c>
    </row>
    <row r="17" spans="1:5" x14ac:dyDescent="0.2">
      <c r="A17" s="11"/>
      <c r="B17" s="43"/>
      <c r="C17" s="47"/>
      <c r="D17" s="35"/>
      <c r="E17" s="35"/>
    </row>
    <row r="18" spans="1:5" x14ac:dyDescent="0.2">
      <c r="A18" s="11"/>
      <c r="B18" s="9" t="s">
        <v>545</v>
      </c>
      <c r="C18" s="47"/>
      <c r="D18" s="1595">
        <f>SUM(D10:D17)</f>
        <v>326.40493493700001</v>
      </c>
      <c r="E18" s="1595">
        <f>SUM(E10:E17)</f>
        <v>325.33570108999999</v>
      </c>
    </row>
    <row r="19" spans="1:5" x14ac:dyDescent="0.2">
      <c r="A19" s="11"/>
      <c r="B19" s="43"/>
      <c r="C19" s="47"/>
      <c r="D19" s="14"/>
      <c r="E19" s="14"/>
    </row>
    <row r="20" spans="1:5" x14ac:dyDescent="0.2">
      <c r="A20" s="11"/>
      <c r="B20" s="43" t="s">
        <v>546</v>
      </c>
      <c r="C20" s="47"/>
      <c r="D20" s="35">
        <f>+'Balance Sheet and P&amp;L'!D237</f>
        <v>35.312575172000003</v>
      </c>
      <c r="E20" s="35">
        <f>+'Balance Sheet and P&amp;L'!E237</f>
        <v>26.947556613</v>
      </c>
    </row>
    <row r="21" spans="1:5" x14ac:dyDescent="0.2">
      <c r="A21" s="11"/>
      <c r="B21" s="43" t="s">
        <v>547</v>
      </c>
      <c r="C21" s="47"/>
      <c r="D21" s="35">
        <f>+'Balance Sheet and P&amp;L'!D238</f>
        <v>408.85345701</v>
      </c>
      <c r="E21" s="35">
        <f>+'Balance Sheet and P&amp;L'!E238</f>
        <v>336.00115118999997</v>
      </c>
    </row>
    <row r="22" spans="1:5" x14ac:dyDescent="0.2">
      <c r="A22" s="11"/>
      <c r="B22" s="43" t="s">
        <v>506</v>
      </c>
      <c r="C22" s="47"/>
      <c r="D22" s="35">
        <f>+'Balance Sheet and P&amp;L'!D239</f>
        <v>461.36615917400002</v>
      </c>
      <c r="E22" s="35">
        <f>+'Balance Sheet and P&amp;L'!E239</f>
        <v>532.74205547299994</v>
      </c>
    </row>
    <row r="23" spans="1:5" x14ac:dyDescent="0.2">
      <c r="A23" s="11"/>
      <c r="B23" s="43" t="s">
        <v>548</v>
      </c>
      <c r="C23" s="47"/>
      <c r="D23" s="35">
        <f>+'Balance Sheet and P&amp;L'!D205</f>
        <v>183.68105705100001</v>
      </c>
      <c r="E23" s="35">
        <f>+'Balance Sheet and P&amp;L'!E205</f>
        <v>183.68105705100001</v>
      </c>
    </row>
    <row r="24" spans="1:5" x14ac:dyDescent="0.2">
      <c r="A24" s="11"/>
      <c r="B24" s="43" t="s">
        <v>549</v>
      </c>
      <c r="C24" s="47"/>
      <c r="D24" s="35">
        <f>+'Balance Sheet and P&amp;L'!D206</f>
        <v>-183.68105705100001</v>
      </c>
      <c r="E24" s="35">
        <f>+'Balance Sheet and P&amp;L'!E206</f>
        <v>-183.68105705100001</v>
      </c>
    </row>
    <row r="25" spans="1:5" x14ac:dyDescent="0.2">
      <c r="A25" s="11"/>
      <c r="B25" s="9" t="s">
        <v>545</v>
      </c>
      <c r="C25" s="47"/>
      <c r="D25" s="1595">
        <f>SUM(D20:D24)</f>
        <v>905.532191356</v>
      </c>
      <c r="E25" s="1595">
        <f>SUM(E20:E24)</f>
        <v>895.69076327599976</v>
      </c>
    </row>
    <row r="26" spans="1:5" x14ac:dyDescent="0.2">
      <c r="A26" s="11"/>
      <c r="B26" s="66" t="s">
        <v>92</v>
      </c>
      <c r="C26" s="47"/>
      <c r="D26" s="1595">
        <f>+D25+D18</f>
        <v>1231.9371262929999</v>
      </c>
      <c r="E26" s="1595">
        <f>+E25+E18</f>
        <v>1221.0264643659998</v>
      </c>
    </row>
    <row r="27" spans="1:5" x14ac:dyDescent="0.2">
      <c r="A27" s="11"/>
      <c r="B27" s="66"/>
      <c r="C27" s="47"/>
      <c r="D27" s="14"/>
      <c r="E27" s="14"/>
    </row>
    <row r="28" spans="1:5" x14ac:dyDescent="0.2">
      <c r="A28" s="11"/>
      <c r="B28" s="66" t="s">
        <v>550</v>
      </c>
      <c r="C28" s="47"/>
      <c r="D28" s="14"/>
      <c r="E28" s="14"/>
    </row>
    <row r="29" spans="1:5" x14ac:dyDescent="0.2">
      <c r="A29" s="11"/>
      <c r="B29" s="66" t="s">
        <v>551</v>
      </c>
      <c r="C29" s="47"/>
      <c r="D29" s="1595">
        <f>+'Balance Sheet and P&amp;L'!D28</f>
        <v>119.54817991200002</v>
      </c>
      <c r="E29" s="17">
        <f>+'Balance Sheet and P&amp;L'!E28</f>
        <v>121.03762497100001</v>
      </c>
    </row>
    <row r="30" spans="1:5" x14ac:dyDescent="0.2">
      <c r="A30" s="11"/>
      <c r="B30" s="43"/>
      <c r="C30" s="47"/>
      <c r="D30" s="14"/>
      <c r="E30" s="14"/>
    </row>
    <row r="31" spans="1:5" x14ac:dyDescent="0.2">
      <c r="A31" s="11"/>
      <c r="B31" s="43"/>
      <c r="C31" s="47"/>
      <c r="D31" s="14"/>
      <c r="E31" s="14"/>
    </row>
    <row r="32" spans="1:5" x14ac:dyDescent="0.2">
      <c r="A32" s="11"/>
      <c r="B32" s="43"/>
      <c r="C32" s="47"/>
      <c r="D32" s="14"/>
      <c r="E32" s="14"/>
    </row>
    <row r="33" spans="1:8" x14ac:dyDescent="0.2">
      <c r="A33" s="11"/>
      <c r="B33" s="43"/>
      <c r="C33" s="47"/>
      <c r="D33" s="14"/>
      <c r="E33" s="14"/>
    </row>
    <row r="34" spans="1:8" x14ac:dyDescent="0.2">
      <c r="A34" s="11"/>
      <c r="B34" s="43"/>
      <c r="C34" s="47"/>
      <c r="D34" s="14"/>
      <c r="E34" s="14"/>
    </row>
    <row r="35" spans="1:8" x14ac:dyDescent="0.2">
      <c r="A35" s="11"/>
      <c r="B35" s="43"/>
      <c r="C35" s="47"/>
      <c r="D35" s="14"/>
      <c r="E35" s="14"/>
    </row>
    <row r="36" spans="1:8" x14ac:dyDescent="0.2">
      <c r="A36" s="11"/>
      <c r="B36" s="43"/>
      <c r="C36" s="47"/>
      <c r="D36" s="14"/>
      <c r="E36" s="14"/>
    </row>
    <row r="37" spans="1:8" x14ac:dyDescent="0.2">
      <c r="A37" s="11"/>
      <c r="B37" s="43"/>
      <c r="C37" s="47"/>
      <c r="D37" s="14"/>
      <c r="E37" s="14"/>
    </row>
    <row r="38" spans="1:8" x14ac:dyDescent="0.2">
      <c r="A38" s="11"/>
      <c r="B38" s="43"/>
      <c r="C38" s="47"/>
      <c r="D38" s="14"/>
      <c r="E38" s="14"/>
    </row>
    <row r="39" spans="1:8" x14ac:dyDescent="0.2">
      <c r="A39" s="11"/>
      <c r="B39" s="10"/>
      <c r="C39" s="47"/>
      <c r="D39" s="14"/>
      <c r="E39" s="14"/>
    </row>
    <row r="40" spans="1:8" x14ac:dyDescent="0.2">
      <c r="A40" s="11"/>
      <c r="B40" s="10"/>
      <c r="C40" s="57"/>
      <c r="D40" s="14"/>
      <c r="E40" s="14"/>
    </row>
    <row r="41" spans="1:8" x14ac:dyDescent="0.2">
      <c r="A41" s="11"/>
      <c r="B41" s="43"/>
      <c r="C41" s="47"/>
      <c r="D41" s="17"/>
      <c r="E41" s="17"/>
      <c r="H41" s="52"/>
    </row>
    <row r="42" spans="1:8" x14ac:dyDescent="0.2">
      <c r="A42" s="11"/>
      <c r="B42" s="10"/>
      <c r="C42" s="10"/>
      <c r="D42" s="10"/>
      <c r="E42" s="10"/>
    </row>
    <row r="45" spans="1:8" x14ac:dyDescent="0.2">
      <c r="A45" s="5" t="s">
        <v>243</v>
      </c>
      <c r="B45" s="3" t="s">
        <v>153</v>
      </c>
    </row>
  </sheetData>
  <mergeCells count="4">
    <mergeCell ref="A7:A8"/>
    <mergeCell ref="B7:B8"/>
    <mergeCell ref="C7:C8"/>
    <mergeCell ref="A2:E2"/>
  </mergeCells>
  <printOptions horizontalCentered="1"/>
  <pageMargins left="0.78740157480314965" right="0.39370078740157483" top="0.78740157480314965" bottom="0.19685039370078741" header="0.31496062992125984" footer="0.31496062992125984"/>
  <pageSetup paperSize="9"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F69"/>
  <sheetViews>
    <sheetView showGridLines="0" view="pageBreakPreview" topLeftCell="A16" zoomScaleSheetLayoutView="100" workbookViewId="0">
      <selection activeCell="D41" sqref="D41"/>
    </sheetView>
  </sheetViews>
  <sheetFormatPr defaultColWidth="9.140625" defaultRowHeight="15" x14ac:dyDescent="0.2"/>
  <cols>
    <col min="1" max="1" width="7.7109375" style="3" customWidth="1"/>
    <col min="2" max="2" width="36.7109375" style="3" customWidth="1"/>
    <col min="3" max="3" width="10.42578125" style="3" customWidth="1"/>
    <col min="4" max="4" width="22.7109375" style="3" customWidth="1"/>
    <col min="5" max="5" width="22.85546875" style="3" customWidth="1"/>
    <col min="6" max="6" width="15" style="3" bestFit="1" customWidth="1"/>
    <col min="7" max="7" width="11.140625" style="3" bestFit="1" customWidth="1"/>
    <col min="8" max="9" width="13.85546875" style="3" bestFit="1" customWidth="1"/>
    <col min="10" max="10" width="11.140625" style="3" bestFit="1" customWidth="1"/>
    <col min="11" max="16384" width="9.140625" style="3"/>
  </cols>
  <sheetData>
    <row r="2" spans="1:6" x14ac:dyDescent="0.2">
      <c r="A2" s="1643" t="s">
        <v>0</v>
      </c>
      <c r="B2" s="1643"/>
      <c r="C2" s="1643"/>
      <c r="D2" s="1643"/>
      <c r="E2" s="1643"/>
    </row>
    <row r="3" spans="1:6" x14ac:dyDescent="0.2">
      <c r="C3" s="1" t="s">
        <v>1</v>
      </c>
    </row>
    <row r="5" spans="1:6" x14ac:dyDescent="0.2">
      <c r="A5" s="1640" t="s">
        <v>552</v>
      </c>
      <c r="B5" s="1640"/>
      <c r="C5" s="1640"/>
      <c r="D5" s="1640"/>
      <c r="E5" s="1640"/>
    </row>
    <row r="6" spans="1:6" x14ac:dyDescent="0.2">
      <c r="A6" s="49"/>
      <c r="B6" s="49"/>
      <c r="C6" s="49"/>
      <c r="D6" s="49"/>
      <c r="E6" s="49"/>
    </row>
    <row r="7" spans="1:6" ht="42.75" x14ac:dyDescent="0.2">
      <c r="A7" s="1642" t="s">
        <v>510</v>
      </c>
      <c r="B7" s="1653" t="s">
        <v>63</v>
      </c>
      <c r="C7" s="1642" t="s">
        <v>404</v>
      </c>
      <c r="D7" s="99" t="s">
        <v>65</v>
      </c>
      <c r="E7" s="99" t="s">
        <v>66</v>
      </c>
      <c r="F7" s="62"/>
    </row>
    <row r="8" spans="1:6" x14ac:dyDescent="0.2">
      <c r="A8" s="1642"/>
      <c r="B8" s="1653"/>
      <c r="C8" s="1642"/>
      <c r="D8" s="41" t="s">
        <v>223</v>
      </c>
      <c r="E8" s="41" t="s">
        <v>223</v>
      </c>
    </row>
    <row r="9" spans="1:6" x14ac:dyDescent="0.2">
      <c r="A9" s="11"/>
      <c r="B9" s="10" t="s">
        <v>553</v>
      </c>
      <c r="C9" s="118"/>
      <c r="D9" s="35">
        <f>+'Balance Sheet and P&amp;L'!D347</f>
        <v>24105.460510142002</v>
      </c>
      <c r="E9" s="35">
        <f>+'Balance Sheet and P&amp;L'!E347</f>
        <v>21937.036102450002</v>
      </c>
    </row>
    <row r="10" spans="1:6" x14ac:dyDescent="0.2">
      <c r="A10" s="11"/>
      <c r="B10" s="10" t="s">
        <v>554</v>
      </c>
      <c r="C10" s="118"/>
      <c r="D10" s="35">
        <f>+'Balance Sheet and P&amp;L'!D348</f>
        <v>4782.3322485070003</v>
      </c>
      <c r="E10" s="35">
        <f>+'Balance Sheet and P&amp;L'!E348</f>
        <v>13.991143697999998</v>
      </c>
    </row>
    <row r="11" spans="1:6" x14ac:dyDescent="0.2">
      <c r="A11" s="11"/>
      <c r="B11" s="10"/>
      <c r="C11" s="118"/>
      <c r="D11" s="35"/>
      <c r="E11" s="35"/>
    </row>
    <row r="12" spans="1:6" x14ac:dyDescent="0.2">
      <c r="A12" s="11"/>
      <c r="B12" s="9" t="s">
        <v>92</v>
      </c>
      <c r="C12" s="118"/>
      <c r="D12" s="1595">
        <f>SUM(D9:D11)</f>
        <v>28887.792758649004</v>
      </c>
      <c r="E12" s="1595">
        <f>SUM(E9:E11)</f>
        <v>21951.027246148002</v>
      </c>
    </row>
    <row r="13" spans="1:6" x14ac:dyDescent="0.2">
      <c r="A13" s="11"/>
      <c r="B13" s="10"/>
      <c r="C13" s="118"/>
      <c r="D13" s="14"/>
      <c r="E13" s="14"/>
    </row>
    <row r="14" spans="1:6" x14ac:dyDescent="0.2">
      <c r="A14" s="11"/>
      <c r="B14" s="10" t="s">
        <v>555</v>
      </c>
      <c r="C14" s="118"/>
      <c r="D14" s="14"/>
      <c r="E14" s="14"/>
    </row>
    <row r="15" spans="1:6" x14ac:dyDescent="0.2">
      <c r="A15" s="11"/>
      <c r="B15" s="10" t="s">
        <v>556</v>
      </c>
      <c r="C15" s="118"/>
      <c r="D15" s="35">
        <f>+'Balance Sheet and P&amp;L'!D352</f>
        <v>117.87754211099998</v>
      </c>
      <c r="E15" s="35">
        <f>+'Balance Sheet and P&amp;L'!E352</f>
        <v>51.313423444000001</v>
      </c>
    </row>
    <row r="16" spans="1:6" x14ac:dyDescent="0.2">
      <c r="A16" s="11"/>
      <c r="B16" s="10" t="s">
        <v>557</v>
      </c>
      <c r="C16" s="118"/>
      <c r="D16" s="35">
        <f>+'Balance Sheet and P&amp;L'!D353</f>
        <v>1.536765613</v>
      </c>
      <c r="E16" s="35">
        <f>+'Balance Sheet and P&amp;L'!E353</f>
        <v>0</v>
      </c>
    </row>
    <row r="17" spans="1:5" x14ac:dyDescent="0.2">
      <c r="A17" s="11"/>
      <c r="B17" s="10" t="s">
        <v>558</v>
      </c>
      <c r="C17" s="118"/>
      <c r="D17" s="35">
        <f>+'Balance Sheet and P&amp;L'!D354</f>
        <v>116.40306378199999</v>
      </c>
      <c r="E17" s="35">
        <f>+'Balance Sheet and P&amp;L'!E354</f>
        <v>181.65357375799999</v>
      </c>
    </row>
    <row r="18" spans="1:5" x14ac:dyDescent="0.2">
      <c r="A18" s="11"/>
      <c r="B18" s="10" t="s">
        <v>559</v>
      </c>
      <c r="C18" s="118"/>
      <c r="D18" s="35">
        <f>+'Balance Sheet and P&amp;L'!D355</f>
        <v>70.288144208000006</v>
      </c>
      <c r="E18" s="35">
        <f>+'Balance Sheet and P&amp;L'!E355</f>
        <v>46.843993695000002</v>
      </c>
    </row>
    <row r="19" spans="1:5" x14ac:dyDescent="0.2">
      <c r="A19" s="11"/>
      <c r="B19" s="10" t="s">
        <v>560</v>
      </c>
      <c r="C19" s="118"/>
      <c r="D19" s="35">
        <f>+'Balance Sheet and P&amp;L'!D356</f>
        <v>-70.288144208000006</v>
      </c>
      <c r="E19" s="35">
        <f>+'Balance Sheet and P&amp;L'!E356</f>
        <v>-46.843993695000002</v>
      </c>
    </row>
    <row r="20" spans="1:5" x14ac:dyDescent="0.2">
      <c r="A20" s="11"/>
      <c r="B20" s="10"/>
      <c r="C20" s="118"/>
      <c r="D20" s="35"/>
      <c r="E20" s="35"/>
    </row>
    <row r="21" spans="1:5" x14ac:dyDescent="0.2">
      <c r="A21" s="11"/>
      <c r="B21" s="10"/>
      <c r="C21" s="118"/>
      <c r="D21" s="35"/>
      <c r="E21" s="35"/>
    </row>
    <row r="22" spans="1:5" x14ac:dyDescent="0.2">
      <c r="A22" s="11"/>
      <c r="B22" s="1627" t="s">
        <v>92</v>
      </c>
      <c r="C22" s="118"/>
      <c r="D22" s="1595">
        <f>SUM(D15:D21)</f>
        <v>235.81737150599997</v>
      </c>
      <c r="E22" s="1595">
        <f>SUM(E15:E21)</f>
        <v>232.96699720200002</v>
      </c>
    </row>
    <row r="23" spans="1:5" x14ac:dyDescent="0.2">
      <c r="A23" s="11"/>
      <c r="B23" s="123"/>
      <c r="C23" s="118"/>
      <c r="D23" s="35"/>
      <c r="E23" s="35"/>
    </row>
    <row r="24" spans="1:5" x14ac:dyDescent="0.2">
      <c r="A24" s="8"/>
      <c r="B24" s="21"/>
      <c r="C24" s="16"/>
      <c r="D24" s="17"/>
      <c r="E24" s="17"/>
    </row>
    <row r="26" spans="1:5" x14ac:dyDescent="0.2">
      <c r="A26" s="1660" t="s">
        <v>561</v>
      </c>
      <c r="B26" s="1660"/>
      <c r="C26" s="1660"/>
      <c r="D26" s="1660"/>
      <c r="E26" s="1660"/>
    </row>
    <row r="27" spans="1:5" x14ac:dyDescent="0.2">
      <c r="A27" s="151"/>
      <c r="B27" s="151"/>
      <c r="C27" s="151"/>
      <c r="D27" s="151"/>
      <c r="E27" s="151"/>
    </row>
    <row r="28" spans="1:5" ht="42.75" x14ac:dyDescent="0.2">
      <c r="A28" s="1661" t="s">
        <v>482</v>
      </c>
      <c r="B28" s="1662" t="s">
        <v>63</v>
      </c>
      <c r="C28" s="1661" t="s">
        <v>404</v>
      </c>
      <c r="D28" s="99" t="s">
        <v>65</v>
      </c>
      <c r="E28" s="99" t="s">
        <v>66</v>
      </c>
    </row>
    <row r="29" spans="1:5" x14ac:dyDescent="0.2">
      <c r="A29" s="1661"/>
      <c r="B29" s="1662"/>
      <c r="C29" s="1661"/>
      <c r="D29" s="41" t="s">
        <v>223</v>
      </c>
      <c r="E29" s="41" t="s">
        <v>223</v>
      </c>
    </row>
    <row r="30" spans="1:5" x14ac:dyDescent="0.2">
      <c r="A30" s="11">
        <v>1</v>
      </c>
      <c r="B30" s="10" t="s">
        <v>562</v>
      </c>
      <c r="C30" s="124"/>
      <c r="D30" s="35">
        <f>+'Balance Sheet and P&amp;L'!D365</f>
        <v>0.22902478000000004</v>
      </c>
      <c r="E30" s="35">
        <f>+'Balance Sheet and P&amp;L'!E365</f>
        <v>0.16887729600000001</v>
      </c>
    </row>
    <row r="31" spans="1:5" x14ac:dyDescent="0.2">
      <c r="A31" s="11"/>
      <c r="B31" s="10"/>
      <c r="C31" s="125"/>
      <c r="D31" s="35"/>
      <c r="E31" s="35"/>
    </row>
    <row r="32" spans="1:5" x14ac:dyDescent="0.2">
      <c r="A32" s="11">
        <v>2</v>
      </c>
      <c r="B32" s="10" t="s">
        <v>563</v>
      </c>
      <c r="C32" s="124"/>
      <c r="D32" s="35"/>
      <c r="E32" s="35"/>
    </row>
    <row r="33" spans="1:5" x14ac:dyDescent="0.2">
      <c r="A33" s="11"/>
      <c r="B33" s="10" t="s">
        <v>564</v>
      </c>
      <c r="C33" s="124"/>
      <c r="D33" s="35">
        <f>+'Balance Sheet and P&amp;L'!D366</f>
        <v>3949.250313</v>
      </c>
      <c r="E33" s="35">
        <f>+'Balance Sheet and P&amp;L'!E366</f>
        <v>1108.1559973000001</v>
      </c>
    </row>
    <row r="34" spans="1:5" x14ac:dyDescent="0.2">
      <c r="A34" s="11"/>
      <c r="B34" s="10" t="s">
        <v>565</v>
      </c>
      <c r="C34" s="124"/>
      <c r="D34" s="35">
        <f>+'Balance Sheet and P&amp;L'!D367</f>
        <v>4.4345818419999992</v>
      </c>
      <c r="E34" s="35">
        <f>+'Balance Sheet and P&amp;L'!E367</f>
        <v>4.8582276289999999</v>
      </c>
    </row>
    <row r="35" spans="1:5" x14ac:dyDescent="0.2">
      <c r="A35" s="11"/>
      <c r="B35" s="10" t="s">
        <v>566</v>
      </c>
      <c r="C35" s="124"/>
      <c r="D35" s="35">
        <f>+'Balance Sheet and P&amp;L'!D368</f>
        <v>31.438449506999998</v>
      </c>
      <c r="E35" s="35">
        <f>+'Balance Sheet and P&amp;L'!E368</f>
        <v>73.772604280999985</v>
      </c>
    </row>
    <row r="36" spans="1:5" x14ac:dyDescent="0.2">
      <c r="A36" s="11"/>
      <c r="B36" s="10" t="s">
        <v>567</v>
      </c>
      <c r="C36" s="124"/>
      <c r="D36" s="35">
        <f>+'Balance Sheet and P&amp;L'!D369</f>
        <v>5.0000000000000001E-3</v>
      </c>
      <c r="E36" s="35">
        <f>+'Balance Sheet and P&amp;L'!E369</f>
        <v>2.5100000000000001E-2</v>
      </c>
    </row>
    <row r="37" spans="1:5" x14ac:dyDescent="0.2">
      <c r="A37" s="11"/>
      <c r="B37" s="10" t="s">
        <v>568</v>
      </c>
      <c r="C37" s="124"/>
      <c r="D37" s="35">
        <f>+'Balance Sheet and P&amp;L'!D370</f>
        <v>86.248659975999999</v>
      </c>
      <c r="E37" s="35">
        <f>+'Balance Sheet and P&amp;L'!E370</f>
        <v>27.143984060000001</v>
      </c>
    </row>
    <row r="38" spans="1:5" x14ac:dyDescent="0.2">
      <c r="A38" s="11"/>
      <c r="B38" s="10" t="s">
        <v>569</v>
      </c>
      <c r="C38" s="124"/>
      <c r="D38" s="35">
        <f>+'Balance Sheet and P&amp;L'!D371</f>
        <v>127.83927792700001</v>
      </c>
      <c r="E38" s="35">
        <f>+'Balance Sheet and P&amp;L'!E371</f>
        <v>117.55086817599999</v>
      </c>
    </row>
    <row r="39" spans="1:5" x14ac:dyDescent="0.2">
      <c r="A39" s="11"/>
      <c r="B39" s="10"/>
      <c r="C39" s="124"/>
      <c r="D39" s="35"/>
      <c r="E39" s="35"/>
    </row>
    <row r="40" spans="1:5" x14ac:dyDescent="0.2">
      <c r="A40" s="11"/>
      <c r="B40" s="10"/>
      <c r="C40" s="124"/>
      <c r="D40" s="35"/>
      <c r="E40" s="35"/>
    </row>
    <row r="41" spans="1:5" x14ac:dyDescent="0.2">
      <c r="A41" s="11"/>
      <c r="B41" s="10" t="s">
        <v>92</v>
      </c>
      <c r="C41" s="107"/>
      <c r="D41" s="1595">
        <f>SUM(D30:D38)</f>
        <v>4199.4453070320005</v>
      </c>
      <c r="E41" s="1595">
        <f>SUM(E30:E38)</f>
        <v>1331.6756587420002</v>
      </c>
    </row>
    <row r="42" spans="1:5" x14ac:dyDescent="0.2">
      <c r="A42" s="11"/>
      <c r="B42" s="10"/>
      <c r="C42" s="107"/>
      <c r="D42" s="35"/>
      <c r="E42" s="35"/>
    </row>
    <row r="43" spans="1:5" x14ac:dyDescent="0.2">
      <c r="A43" s="126"/>
      <c r="B43" s="21"/>
      <c r="C43" s="11"/>
      <c r="D43" s="1595"/>
      <c r="E43" s="1595"/>
    </row>
    <row r="44" spans="1:5" x14ac:dyDescent="0.2">
      <c r="A44" s="22"/>
    </row>
    <row r="45" spans="1:5" x14ac:dyDescent="0.2">
      <c r="A45" s="1660" t="s">
        <v>570</v>
      </c>
      <c r="B45" s="1660"/>
      <c r="C45" s="1660"/>
      <c r="D45" s="1660"/>
      <c r="E45" s="1660"/>
    </row>
    <row r="46" spans="1:5" x14ac:dyDescent="0.2">
      <c r="A46" s="151"/>
      <c r="B46" s="151"/>
      <c r="C46" s="151"/>
      <c r="D46" s="151"/>
      <c r="E46" s="151"/>
    </row>
    <row r="47" spans="1:5" ht="42.75" x14ac:dyDescent="0.2">
      <c r="A47" s="1661" t="s">
        <v>482</v>
      </c>
      <c r="B47" s="1662" t="s">
        <v>63</v>
      </c>
      <c r="C47" s="1661" t="s">
        <v>404</v>
      </c>
      <c r="D47" s="99" t="s">
        <v>65</v>
      </c>
      <c r="E47" s="99" t="s">
        <v>66</v>
      </c>
    </row>
    <row r="48" spans="1:5" x14ac:dyDescent="0.2">
      <c r="A48" s="1661"/>
      <c r="B48" s="1662"/>
      <c r="C48" s="1661"/>
      <c r="D48" s="6" t="str">
        <f>E48</f>
        <v>Rs.</v>
      </c>
      <c r="E48" s="6" t="s">
        <v>223</v>
      </c>
    </row>
    <row r="49" spans="1:5" x14ac:dyDescent="0.2">
      <c r="A49" s="11"/>
      <c r="B49" s="10"/>
      <c r="C49" s="124"/>
      <c r="D49" s="14"/>
      <c r="E49" s="14"/>
    </row>
    <row r="50" spans="1:5" x14ac:dyDescent="0.2">
      <c r="A50" s="11"/>
      <c r="B50" s="10"/>
      <c r="C50" s="125"/>
      <c r="D50" s="14"/>
      <c r="E50" s="14"/>
    </row>
    <row r="51" spans="1:5" x14ac:dyDescent="0.2">
      <c r="A51" s="11"/>
      <c r="B51" s="10"/>
      <c r="C51" s="124"/>
      <c r="D51" s="14"/>
      <c r="E51" s="14"/>
    </row>
    <row r="52" spans="1:5" x14ac:dyDescent="0.2">
      <c r="A52" s="11"/>
      <c r="B52" s="10"/>
      <c r="C52" s="107"/>
      <c r="D52" s="14"/>
      <c r="E52" s="14"/>
    </row>
    <row r="53" spans="1:5" x14ac:dyDescent="0.2">
      <c r="A53" s="11"/>
      <c r="B53" s="10"/>
      <c r="C53" s="107"/>
      <c r="D53" s="14"/>
      <c r="E53" s="14"/>
    </row>
    <row r="54" spans="1:5" x14ac:dyDescent="0.2">
      <c r="A54" s="126"/>
      <c r="B54" s="21"/>
      <c r="C54" s="11"/>
      <c r="D54" s="17"/>
      <c r="E54" s="17"/>
    </row>
    <row r="57" spans="1:5" x14ac:dyDescent="0.2">
      <c r="A57" s="1660" t="s">
        <v>571</v>
      </c>
      <c r="B57" s="1660"/>
      <c r="C57" s="1660"/>
      <c r="D57" s="1660"/>
      <c r="E57" s="1660"/>
    </row>
    <row r="58" spans="1:5" x14ac:dyDescent="0.2">
      <c r="A58" s="151"/>
      <c r="B58" s="151"/>
      <c r="C58" s="151"/>
      <c r="D58" s="151"/>
      <c r="E58" s="151"/>
    </row>
    <row r="59" spans="1:5" ht="42.75" x14ac:dyDescent="0.2">
      <c r="A59" s="1661" t="s">
        <v>482</v>
      </c>
      <c r="B59" s="1662" t="s">
        <v>63</v>
      </c>
      <c r="C59" s="1661" t="s">
        <v>404</v>
      </c>
      <c r="D59" s="99" t="s">
        <v>65</v>
      </c>
      <c r="E59" s="99" t="s">
        <v>66</v>
      </c>
    </row>
    <row r="60" spans="1:5" x14ac:dyDescent="0.2">
      <c r="A60" s="1661"/>
      <c r="B60" s="1662"/>
      <c r="C60" s="1661"/>
      <c r="D60" s="6" t="s">
        <v>223</v>
      </c>
      <c r="E60" s="6" t="s">
        <v>223</v>
      </c>
    </row>
    <row r="61" spans="1:5" x14ac:dyDescent="0.2">
      <c r="A61" s="11"/>
      <c r="B61" s="10"/>
      <c r="C61" s="124"/>
      <c r="D61" s="14"/>
      <c r="E61" s="14"/>
    </row>
    <row r="62" spans="1:5" x14ac:dyDescent="0.2">
      <c r="A62" s="11"/>
      <c r="B62" s="10"/>
      <c r="C62" s="125"/>
      <c r="D62" s="14"/>
      <c r="E62" s="14"/>
    </row>
    <row r="63" spans="1:5" x14ac:dyDescent="0.2">
      <c r="A63" s="11"/>
      <c r="B63" s="10"/>
      <c r="C63" s="124"/>
      <c r="D63" s="14"/>
      <c r="E63" s="14"/>
    </row>
    <row r="64" spans="1:5" x14ac:dyDescent="0.2">
      <c r="A64" s="11"/>
      <c r="B64" s="10"/>
      <c r="C64" s="107"/>
      <c r="D64" s="14"/>
      <c r="E64" s="14"/>
    </row>
    <row r="65" spans="1:5" x14ac:dyDescent="0.2">
      <c r="A65" s="11"/>
      <c r="B65" s="10"/>
      <c r="C65" s="107"/>
      <c r="D65" s="14"/>
      <c r="E65" s="14"/>
    </row>
    <row r="66" spans="1:5" x14ac:dyDescent="0.2">
      <c r="A66" s="126"/>
      <c r="B66" s="21"/>
      <c r="C66" s="11"/>
      <c r="D66" s="17"/>
      <c r="E66" s="17"/>
    </row>
    <row r="69" spans="1:5" x14ac:dyDescent="0.2">
      <c r="A69" s="5" t="s">
        <v>243</v>
      </c>
      <c r="B69" s="3" t="s">
        <v>153</v>
      </c>
    </row>
  </sheetData>
  <sheetProtection selectLockedCells="1" selectUnlockedCells="1"/>
  <mergeCells count="17">
    <mergeCell ref="A2:E2"/>
    <mergeCell ref="A5:E5"/>
    <mergeCell ref="A28:A29"/>
    <mergeCell ref="B28:B29"/>
    <mergeCell ref="C28:C29"/>
    <mergeCell ref="A26:E26"/>
    <mergeCell ref="A45:E45"/>
    <mergeCell ref="A59:A60"/>
    <mergeCell ref="B59:B60"/>
    <mergeCell ref="C59:C60"/>
    <mergeCell ref="A7:A8"/>
    <mergeCell ref="B7:B8"/>
    <mergeCell ref="C7:C8"/>
    <mergeCell ref="A47:A48"/>
    <mergeCell ref="B47:B48"/>
    <mergeCell ref="C47:C48"/>
    <mergeCell ref="A57:E57"/>
  </mergeCells>
  <phoneticPr fontId="0" type="noConversion"/>
  <printOptions horizontalCentered="1"/>
  <pageMargins left="0.78740157480314965" right="0.39370078740157483" top="0.78740157480314965" bottom="0.19685039370078741" header="0.31496062992125984" footer="0.31496062992125984"/>
  <pageSetup paperSize="9" scale="4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31"/>
  <sheetViews>
    <sheetView showGridLines="0" view="pageBreakPreview" zoomScale="80" zoomScaleNormal="80" zoomScaleSheetLayoutView="80" workbookViewId="0">
      <selection activeCell="D30" sqref="D30"/>
    </sheetView>
  </sheetViews>
  <sheetFormatPr defaultColWidth="8.85546875" defaultRowHeight="15" x14ac:dyDescent="0.25"/>
  <cols>
    <col min="1" max="1" width="8.28515625" style="127" customWidth="1"/>
    <col min="2" max="2" width="21.7109375" style="127" customWidth="1"/>
    <col min="3" max="3" width="16.7109375" style="127" customWidth="1"/>
    <col min="4" max="5" width="29.7109375" style="127" customWidth="1"/>
    <col min="6" max="16384" width="8.85546875" style="127"/>
  </cols>
  <sheetData>
    <row r="1" spans="1:5" x14ac:dyDescent="0.25">
      <c r="A1" s="1643" t="s">
        <v>0</v>
      </c>
      <c r="B1" s="1643"/>
      <c r="C1" s="1643"/>
      <c r="D1" s="1643"/>
      <c r="E1" s="1643"/>
    </row>
    <row r="2" spans="1:5" x14ac:dyDescent="0.25">
      <c r="C2" s="1" t="s">
        <v>1</v>
      </c>
    </row>
    <row r="4" spans="1:5" x14ac:dyDescent="0.25">
      <c r="A4" s="1640" t="s">
        <v>572</v>
      </c>
      <c r="B4" s="1640"/>
      <c r="C4" s="1640"/>
      <c r="D4" s="1640"/>
      <c r="E4" s="1640"/>
    </row>
    <row r="5" spans="1:5" x14ac:dyDescent="0.25">
      <c r="A5" s="49"/>
      <c r="B5" s="49"/>
      <c r="C5" s="49"/>
      <c r="D5" s="49"/>
      <c r="E5" s="49"/>
    </row>
    <row r="6" spans="1:5" ht="28.5" x14ac:dyDescent="0.25">
      <c r="A6" s="1642" t="s">
        <v>510</v>
      </c>
      <c r="B6" s="1653" t="s">
        <v>63</v>
      </c>
      <c r="C6" s="1642" t="s">
        <v>404</v>
      </c>
      <c r="D6" s="99" t="s">
        <v>65</v>
      </c>
      <c r="E6" s="99" t="s">
        <v>66</v>
      </c>
    </row>
    <row r="7" spans="1:5" x14ac:dyDescent="0.25">
      <c r="A7" s="1642"/>
      <c r="B7" s="1653"/>
      <c r="C7" s="1642"/>
      <c r="D7" s="41" t="s">
        <v>223</v>
      </c>
      <c r="E7" s="41" t="s">
        <v>223</v>
      </c>
    </row>
    <row r="8" spans="1:5" x14ac:dyDescent="0.25">
      <c r="A8" s="11"/>
      <c r="B8" s="10"/>
      <c r="C8" s="118"/>
      <c r="D8" s="14"/>
      <c r="E8" s="14"/>
    </row>
    <row r="9" spans="1:5" x14ac:dyDescent="0.25">
      <c r="A9" s="11"/>
      <c r="B9" s="10" t="s">
        <v>573</v>
      </c>
      <c r="C9" s="118"/>
      <c r="D9" s="35">
        <f>+'Balance Sheet and P&amp;L'!D378</f>
        <v>21401.30131345</v>
      </c>
      <c r="E9" s="35">
        <f>+'Balance Sheet and P&amp;L'!E378</f>
        <v>13994.072569645998</v>
      </c>
    </row>
    <row r="10" spans="1:5" x14ac:dyDescent="0.25">
      <c r="A10" s="11"/>
      <c r="B10" s="123" t="s">
        <v>574</v>
      </c>
      <c r="C10" s="118"/>
      <c r="D10" s="35">
        <f>+'Balance Sheet and P&amp;L'!D379</f>
        <v>211.03443160200001</v>
      </c>
      <c r="E10" s="35">
        <f>+'Balance Sheet and P&amp;L'!E379</f>
        <v>181.17247039</v>
      </c>
    </row>
    <row r="11" spans="1:5" x14ac:dyDescent="0.25">
      <c r="A11" s="11"/>
      <c r="B11" s="10"/>
      <c r="C11" s="118"/>
      <c r="D11" s="35"/>
      <c r="E11" s="35"/>
    </row>
    <row r="12" spans="1:5" x14ac:dyDescent="0.25">
      <c r="A12" s="11"/>
      <c r="B12" s="123" t="s">
        <v>575</v>
      </c>
      <c r="C12" s="118"/>
      <c r="D12" s="35">
        <f>+'Balance Sheet and P&amp;L'!D381</f>
        <v>945.23648727700004</v>
      </c>
      <c r="E12" s="35">
        <f>+'Balance Sheet and P&amp;L'!E381</f>
        <v>377.162098996</v>
      </c>
    </row>
    <row r="13" spans="1:5" x14ac:dyDescent="0.25">
      <c r="A13" s="11"/>
      <c r="B13" s="10" t="s">
        <v>576</v>
      </c>
      <c r="C13" s="118"/>
      <c r="D13" s="35">
        <f>+'Balance Sheet and P&amp;L'!D382</f>
        <v>822.98541388900003</v>
      </c>
      <c r="E13" s="35">
        <f>+'Balance Sheet and P&amp;L'!E382</f>
        <v>395.10324600200005</v>
      </c>
    </row>
    <row r="14" spans="1:5" x14ac:dyDescent="0.25">
      <c r="A14" s="11"/>
      <c r="B14" s="10" t="s">
        <v>577</v>
      </c>
      <c r="C14" s="118"/>
      <c r="D14" s="35">
        <f>+'Balance Sheet and P&amp;L'!D383</f>
        <v>324.15974496300004</v>
      </c>
      <c r="E14" s="35">
        <f>+'Balance Sheet and P&amp;L'!E383</f>
        <v>288.81969009599993</v>
      </c>
    </row>
    <row r="15" spans="1:5" x14ac:dyDescent="0.25">
      <c r="A15" s="11"/>
      <c r="B15" s="1627" t="s">
        <v>92</v>
      </c>
      <c r="C15" s="118"/>
      <c r="D15" s="1595">
        <f>SUM(D9:D14)</f>
        <v>23704.717391180999</v>
      </c>
      <c r="E15" s="1595">
        <f>SUM(E9:E14)</f>
        <v>15236.330075129996</v>
      </c>
    </row>
    <row r="16" spans="1:5" x14ac:dyDescent="0.25">
      <c r="A16" s="8"/>
      <c r="B16" s="21"/>
      <c r="C16" s="16"/>
      <c r="D16" s="17"/>
      <c r="E16" s="17"/>
    </row>
    <row r="20" spans="1:5" x14ac:dyDescent="0.25">
      <c r="A20" s="1640" t="s">
        <v>578</v>
      </c>
      <c r="B20" s="1640"/>
      <c r="C20" s="1640"/>
      <c r="D20" s="1640"/>
      <c r="E20" s="1640"/>
    </row>
    <row r="21" spans="1:5" x14ac:dyDescent="0.25">
      <c r="A21" s="49"/>
      <c r="B21" s="49"/>
      <c r="C21" s="49"/>
      <c r="D21" s="49"/>
      <c r="E21" s="49"/>
    </row>
    <row r="22" spans="1:5" ht="28.5" x14ac:dyDescent="0.25">
      <c r="A22" s="1642" t="s">
        <v>510</v>
      </c>
      <c r="B22" s="1653" t="s">
        <v>63</v>
      </c>
      <c r="C22" s="1642" t="s">
        <v>404</v>
      </c>
      <c r="D22" s="99" t="s">
        <v>65</v>
      </c>
      <c r="E22" s="99" t="s">
        <v>66</v>
      </c>
    </row>
    <row r="23" spans="1:5" x14ac:dyDescent="0.25">
      <c r="A23" s="1642"/>
      <c r="B23" s="1653"/>
      <c r="C23" s="1642"/>
      <c r="D23" s="41" t="s">
        <v>223</v>
      </c>
      <c r="E23" s="41" t="s">
        <v>223</v>
      </c>
    </row>
    <row r="24" spans="1:5" x14ac:dyDescent="0.25">
      <c r="A24" s="11"/>
      <c r="B24" s="10"/>
      <c r="C24" s="118"/>
      <c r="D24" s="14"/>
      <c r="E24" s="14"/>
    </row>
    <row r="25" spans="1:5" x14ac:dyDescent="0.25">
      <c r="A25" s="11"/>
      <c r="B25" s="10" t="s">
        <v>579</v>
      </c>
      <c r="C25" s="118"/>
      <c r="D25" s="35">
        <f>+'Balance Sheet and P&amp;L'!D380</f>
        <v>278.2720339</v>
      </c>
      <c r="E25" s="35">
        <f>+'Balance Sheet and P&amp;L'!E380</f>
        <v>388.1135653</v>
      </c>
    </row>
    <row r="26" spans="1:5" x14ac:dyDescent="0.25">
      <c r="A26" s="11"/>
      <c r="B26" s="123"/>
      <c r="C26" s="118"/>
      <c r="D26" s="35"/>
      <c r="E26" s="35"/>
    </row>
    <row r="27" spans="1:5" x14ac:dyDescent="0.25">
      <c r="A27" s="11"/>
      <c r="B27" s="1627" t="s">
        <v>92</v>
      </c>
      <c r="C27" s="118"/>
      <c r="D27" s="1595">
        <f>SUM(D25:D26)</f>
        <v>278.2720339</v>
      </c>
      <c r="E27" s="1595">
        <f>SUM(E25:E26)</f>
        <v>388.1135653</v>
      </c>
    </row>
    <row r="28" spans="1:5" x14ac:dyDescent="0.25">
      <c r="A28" s="8"/>
      <c r="B28" s="21"/>
      <c r="C28" s="16"/>
      <c r="D28" s="17"/>
      <c r="E28" s="17"/>
    </row>
    <row r="31" spans="1:5" x14ac:dyDescent="0.25">
      <c r="A31" s="155" t="s">
        <v>243</v>
      </c>
      <c r="B31" s="3" t="s">
        <v>153</v>
      </c>
    </row>
  </sheetData>
  <mergeCells count="9">
    <mergeCell ref="A1:E1"/>
    <mergeCell ref="A22:A23"/>
    <mergeCell ref="B22:B23"/>
    <mergeCell ref="C22:C23"/>
    <mergeCell ref="A4:E4"/>
    <mergeCell ref="A6:A7"/>
    <mergeCell ref="B6:B7"/>
    <mergeCell ref="C6:C7"/>
    <mergeCell ref="A20:E20"/>
  </mergeCells>
  <pageMargins left="0.7" right="0.7" top="0.75" bottom="0.75" header="0.3" footer="0.3"/>
  <pageSetup paperSize="9" scale="8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E50"/>
  <sheetViews>
    <sheetView showGridLines="0" view="pageBreakPreview" topLeftCell="A4" zoomScale="90" zoomScaleSheetLayoutView="90" workbookViewId="0">
      <selection activeCell="E30" sqref="E30"/>
    </sheetView>
  </sheetViews>
  <sheetFormatPr defaultColWidth="9.140625" defaultRowHeight="15" x14ac:dyDescent="0.2"/>
  <cols>
    <col min="1" max="1" width="6.7109375" style="4" customWidth="1"/>
    <col min="2" max="2" width="33.7109375" style="3" customWidth="1"/>
    <col min="3" max="3" width="14.85546875" style="3" customWidth="1"/>
    <col min="4" max="6" width="32.85546875" style="3" customWidth="1"/>
    <col min="7" max="7" width="17.5703125" style="3" bestFit="1" customWidth="1"/>
    <col min="8" max="8" width="18.42578125" style="3" bestFit="1" customWidth="1"/>
    <col min="9" max="9" width="14.28515625" style="3" bestFit="1" customWidth="1"/>
    <col min="10" max="10" width="12.28515625" style="3" bestFit="1" customWidth="1"/>
    <col min="11" max="11" width="10.5703125" style="3" bestFit="1" customWidth="1"/>
    <col min="12" max="16384" width="9.140625" style="3"/>
  </cols>
  <sheetData>
    <row r="2" spans="1:5" x14ac:dyDescent="0.2">
      <c r="A2" s="1643" t="s">
        <v>0</v>
      </c>
      <c r="B2" s="1643"/>
      <c r="C2" s="1643"/>
      <c r="D2" s="1643"/>
      <c r="E2" s="1643"/>
    </row>
    <row r="3" spans="1:5" x14ac:dyDescent="0.2">
      <c r="B3" s="1643" t="s">
        <v>1</v>
      </c>
      <c r="C3" s="1643"/>
      <c r="D3" s="1643"/>
    </row>
    <row r="5" spans="1:5" x14ac:dyDescent="0.2">
      <c r="A5" s="1654" t="s">
        <v>580</v>
      </c>
      <c r="B5" s="1654"/>
      <c r="C5" s="1654"/>
      <c r="D5" s="1654"/>
    </row>
    <row r="6" spans="1:5" x14ac:dyDescent="0.2">
      <c r="A6" s="61"/>
      <c r="B6" s="61"/>
      <c r="C6" s="61"/>
      <c r="D6" s="61"/>
    </row>
    <row r="7" spans="1:5" ht="28.5" x14ac:dyDescent="0.2">
      <c r="A7" s="1642" t="s">
        <v>482</v>
      </c>
      <c r="B7" s="1653" t="s">
        <v>63</v>
      </c>
      <c r="C7" s="1642" t="s">
        <v>404</v>
      </c>
      <c r="D7" s="99" t="s">
        <v>65</v>
      </c>
      <c r="E7" s="99" t="s">
        <v>66</v>
      </c>
    </row>
    <row r="8" spans="1:5" x14ac:dyDescent="0.2">
      <c r="A8" s="1642"/>
      <c r="B8" s="1653"/>
      <c r="C8" s="1642"/>
      <c r="D8" s="41" t="s">
        <v>223</v>
      </c>
      <c r="E8" s="41" t="s">
        <v>223</v>
      </c>
    </row>
    <row r="9" spans="1:5" x14ac:dyDescent="0.2">
      <c r="A9" s="11">
        <v>1</v>
      </c>
      <c r="B9" s="10" t="s">
        <v>581</v>
      </c>
      <c r="C9" s="19"/>
      <c r="D9" s="35">
        <f>+'Balance Sheet and P&amp;L'!D387</f>
        <v>1268.3000814499999</v>
      </c>
      <c r="E9" s="35">
        <f>+'Balance Sheet and P&amp;L'!E387</f>
        <v>1175.0356517450002</v>
      </c>
    </row>
    <row r="10" spans="1:5" x14ac:dyDescent="0.2">
      <c r="A10" s="11">
        <v>2</v>
      </c>
      <c r="B10" s="10" t="s">
        <v>582</v>
      </c>
      <c r="C10" s="19"/>
      <c r="D10" s="35"/>
      <c r="E10" s="35"/>
    </row>
    <row r="11" spans="1:5" x14ac:dyDescent="0.2">
      <c r="A11" s="11">
        <v>3</v>
      </c>
      <c r="B11" s="10" t="s">
        <v>583</v>
      </c>
      <c r="C11" s="19"/>
      <c r="D11" s="35"/>
      <c r="E11" s="35"/>
    </row>
    <row r="12" spans="1:5" x14ac:dyDescent="0.2">
      <c r="A12" s="11">
        <v>4</v>
      </c>
      <c r="B12" s="10" t="s">
        <v>584</v>
      </c>
      <c r="C12" s="19"/>
      <c r="D12" s="35"/>
      <c r="E12" s="35"/>
    </row>
    <row r="13" spans="1:5" x14ac:dyDescent="0.2">
      <c r="A13" s="11">
        <v>5</v>
      </c>
      <c r="B13" s="10" t="s">
        <v>585</v>
      </c>
      <c r="C13" s="19"/>
      <c r="D13" s="35"/>
      <c r="E13" s="35"/>
    </row>
    <row r="14" spans="1:5" x14ac:dyDescent="0.2">
      <c r="A14" s="11"/>
      <c r="B14" s="10" t="s">
        <v>176</v>
      </c>
      <c r="C14" s="19"/>
      <c r="D14" s="35"/>
      <c r="E14" s="35"/>
    </row>
    <row r="15" spans="1:5" x14ac:dyDescent="0.2">
      <c r="A15" s="11"/>
      <c r="B15" s="10" t="s">
        <v>176</v>
      </c>
      <c r="C15" s="19"/>
      <c r="D15" s="35"/>
      <c r="E15" s="35"/>
    </row>
    <row r="16" spans="1:5" x14ac:dyDescent="0.2">
      <c r="A16" s="11"/>
      <c r="B16" s="21" t="s">
        <v>586</v>
      </c>
      <c r="C16" s="19"/>
      <c r="D16" s="1595">
        <f>+SUM(D9:D15)</f>
        <v>1268.3000814499999</v>
      </c>
      <c r="E16" s="1595">
        <f>+SUM(E9:E15)</f>
        <v>1175.0356517450002</v>
      </c>
    </row>
    <row r="17" spans="1:5" x14ac:dyDescent="0.2">
      <c r="A17" s="11">
        <v>6</v>
      </c>
      <c r="B17" s="10" t="s">
        <v>587</v>
      </c>
      <c r="C17" s="10"/>
      <c r="D17" s="35"/>
      <c r="E17" s="35"/>
    </row>
    <row r="18" spans="1:5" x14ac:dyDescent="0.2">
      <c r="A18" s="11">
        <v>7</v>
      </c>
      <c r="B18" s="10" t="s">
        <v>588</v>
      </c>
      <c r="C18" s="10"/>
      <c r="D18" s="35"/>
      <c r="E18" s="35"/>
    </row>
    <row r="19" spans="1:5" x14ac:dyDescent="0.2">
      <c r="A19" s="11">
        <v>8</v>
      </c>
      <c r="B19" s="10" t="s">
        <v>589</v>
      </c>
      <c r="C19" s="10"/>
      <c r="D19" s="35"/>
      <c r="E19" s="35"/>
    </row>
    <row r="20" spans="1:5" x14ac:dyDescent="0.2">
      <c r="A20" s="11"/>
      <c r="B20" s="10" t="s">
        <v>176</v>
      </c>
      <c r="C20" s="10"/>
      <c r="D20" s="35"/>
      <c r="E20" s="35"/>
    </row>
    <row r="21" spans="1:5" x14ac:dyDescent="0.2">
      <c r="A21" s="11"/>
      <c r="B21" s="10" t="s">
        <v>176</v>
      </c>
      <c r="C21" s="10"/>
      <c r="D21" s="35"/>
      <c r="E21" s="35"/>
    </row>
    <row r="22" spans="1:5" x14ac:dyDescent="0.2">
      <c r="A22" s="11"/>
      <c r="B22" s="21" t="s">
        <v>590</v>
      </c>
      <c r="C22" s="10"/>
      <c r="D22" s="35"/>
      <c r="E22" s="35"/>
    </row>
    <row r="23" spans="1:5" x14ac:dyDescent="0.2">
      <c r="A23" s="11">
        <v>9</v>
      </c>
      <c r="B23" s="10" t="s">
        <v>591</v>
      </c>
      <c r="C23" s="10"/>
      <c r="D23" s="35">
        <f>+'Balance Sheet and P&amp;L'!D390</f>
        <v>99.604207505999995</v>
      </c>
      <c r="E23" s="35">
        <f>+'Balance Sheet and P&amp;L'!E390</f>
        <v>131.58957285700001</v>
      </c>
    </row>
    <row r="24" spans="1:5" x14ac:dyDescent="0.2">
      <c r="A24" s="11" t="s">
        <v>160</v>
      </c>
      <c r="B24" s="10" t="s">
        <v>592</v>
      </c>
      <c r="C24" s="10"/>
      <c r="D24" s="35"/>
      <c r="E24" s="35"/>
    </row>
    <row r="25" spans="1:5" x14ac:dyDescent="0.2">
      <c r="A25" s="11" t="s">
        <v>162</v>
      </c>
      <c r="B25" s="10" t="s">
        <v>591</v>
      </c>
      <c r="C25" s="10"/>
      <c r="D25" s="35"/>
      <c r="E25" s="35"/>
    </row>
    <row r="26" spans="1:5" x14ac:dyDescent="0.2">
      <c r="A26" s="11"/>
      <c r="B26" s="10" t="s">
        <v>176</v>
      </c>
      <c r="C26" s="10"/>
      <c r="D26" s="35"/>
      <c r="E26" s="35"/>
    </row>
    <row r="27" spans="1:5" x14ac:dyDescent="0.2">
      <c r="A27" s="11"/>
      <c r="B27" s="10" t="s">
        <v>176</v>
      </c>
      <c r="C27" s="10"/>
      <c r="D27" s="35"/>
      <c r="E27" s="35"/>
    </row>
    <row r="28" spans="1:5" x14ac:dyDescent="0.2">
      <c r="A28" s="11"/>
      <c r="B28" s="21" t="s">
        <v>593</v>
      </c>
      <c r="C28" s="10"/>
      <c r="D28" s="1595">
        <f>SUM(D23:D27)</f>
        <v>99.604207505999995</v>
      </c>
      <c r="E28" s="1595">
        <f>SUM(E23:E27)</f>
        <v>131.58957285700001</v>
      </c>
    </row>
    <row r="29" spans="1:5" x14ac:dyDescent="0.2">
      <c r="A29" s="11">
        <v>10</v>
      </c>
      <c r="B29" s="10" t="s">
        <v>594</v>
      </c>
      <c r="C29" s="10"/>
      <c r="D29" s="35">
        <f>+'Balance Sheet and P&amp;L'!D388+'Balance Sheet and P&amp;L'!D389</f>
        <v>338.17675423100002</v>
      </c>
      <c r="E29" s="35">
        <f>+'Balance Sheet and P&amp;L'!E388+'Balance Sheet and P&amp;L'!E389</f>
        <v>355.92016201299998</v>
      </c>
    </row>
    <row r="30" spans="1:5" x14ac:dyDescent="0.2">
      <c r="A30" s="11"/>
      <c r="B30" s="10" t="s">
        <v>595</v>
      </c>
      <c r="C30" s="10"/>
      <c r="D30" s="35">
        <f>+'Balance Sheet and P&amp;L'!D393</f>
        <v>19.753063399999998</v>
      </c>
      <c r="E30" s="35">
        <f>+'Balance Sheet and P&amp;L'!E393</f>
        <v>51.507953000000001</v>
      </c>
    </row>
    <row r="31" spans="1:5" x14ac:dyDescent="0.2">
      <c r="A31" s="11"/>
      <c r="B31" s="10" t="s">
        <v>176</v>
      </c>
      <c r="C31" s="10"/>
      <c r="D31" s="35"/>
      <c r="E31" s="35"/>
    </row>
    <row r="32" spans="1:5" x14ac:dyDescent="0.2">
      <c r="A32" s="11"/>
      <c r="B32" s="21" t="s">
        <v>596</v>
      </c>
      <c r="C32" s="10"/>
      <c r="D32" s="35"/>
      <c r="E32" s="35"/>
    </row>
    <row r="33" spans="1:5" x14ac:dyDescent="0.2">
      <c r="A33" s="11"/>
      <c r="B33" s="10" t="s">
        <v>597</v>
      </c>
      <c r="C33" s="10"/>
      <c r="D33" s="35"/>
      <c r="E33" s="35"/>
    </row>
    <row r="34" spans="1:5" x14ac:dyDescent="0.2">
      <c r="A34" s="11"/>
      <c r="B34" s="10" t="s">
        <v>598</v>
      </c>
      <c r="C34" s="10"/>
      <c r="D34" s="35"/>
      <c r="E34" s="35"/>
    </row>
    <row r="35" spans="1:5" x14ac:dyDescent="0.2">
      <c r="A35" s="11"/>
      <c r="B35" s="10" t="s">
        <v>176</v>
      </c>
      <c r="C35" s="10"/>
      <c r="D35" s="35"/>
      <c r="E35" s="35"/>
    </row>
    <row r="36" spans="1:5" x14ac:dyDescent="0.2">
      <c r="A36" s="11"/>
      <c r="B36" s="10" t="s">
        <v>176</v>
      </c>
      <c r="C36" s="10"/>
      <c r="D36" s="35"/>
      <c r="E36" s="35"/>
    </row>
    <row r="37" spans="1:5" x14ac:dyDescent="0.2">
      <c r="A37" s="11"/>
      <c r="B37" s="10" t="s">
        <v>92</v>
      </c>
      <c r="C37" s="10"/>
      <c r="D37" s="1595">
        <f>SUM(D29:D36)</f>
        <v>357.92981763099999</v>
      </c>
      <c r="E37" s="1595">
        <f>SUM(E29:E36)</f>
        <v>407.42811501299997</v>
      </c>
    </row>
    <row r="38" spans="1:5" x14ac:dyDescent="0.2">
      <c r="A38" s="11"/>
      <c r="B38" s="10" t="s">
        <v>599</v>
      </c>
      <c r="C38" s="10"/>
      <c r="D38" s="35"/>
      <c r="E38" s="35"/>
    </row>
    <row r="39" spans="1:5" x14ac:dyDescent="0.2">
      <c r="A39" s="11"/>
      <c r="B39" s="21" t="s">
        <v>508</v>
      </c>
      <c r="C39" s="10"/>
      <c r="D39" s="1595">
        <f>+D37+D28+D16</f>
        <v>1725.834106587</v>
      </c>
      <c r="E39" s="1595">
        <f>+E37+E28+E16</f>
        <v>1714.0533396150001</v>
      </c>
    </row>
    <row r="40" spans="1:5" x14ac:dyDescent="0.2">
      <c r="D40" s="1628"/>
      <c r="E40" s="1628"/>
    </row>
    <row r="41" spans="1:5" x14ac:dyDescent="0.2">
      <c r="A41" s="5" t="s">
        <v>243</v>
      </c>
      <c r="B41" s="3" t="s">
        <v>153</v>
      </c>
      <c r="D41" s="1628"/>
      <c r="E41" s="1628"/>
    </row>
    <row r="42" spans="1:5" x14ac:dyDescent="0.2">
      <c r="D42" s="1628"/>
      <c r="E42" s="1628"/>
    </row>
    <row r="43" spans="1:5" x14ac:dyDescent="0.2">
      <c r="D43" s="1628"/>
      <c r="E43" s="1628"/>
    </row>
    <row r="44" spans="1:5" x14ac:dyDescent="0.2">
      <c r="D44" s="1628"/>
      <c r="E44" s="1628"/>
    </row>
    <row r="45" spans="1:5" x14ac:dyDescent="0.2">
      <c r="D45" s="1628"/>
      <c r="E45" s="1628"/>
    </row>
    <row r="46" spans="1:5" x14ac:dyDescent="0.2">
      <c r="D46" s="1628"/>
      <c r="E46" s="1628"/>
    </row>
    <row r="47" spans="1:5" x14ac:dyDescent="0.2">
      <c r="D47" s="1628"/>
      <c r="E47" s="1628"/>
    </row>
    <row r="48" spans="1:5" x14ac:dyDescent="0.2">
      <c r="D48" s="1628"/>
      <c r="E48" s="1628"/>
    </row>
    <row r="49" spans="4:5" x14ac:dyDescent="0.2">
      <c r="D49" s="1628"/>
      <c r="E49" s="1628"/>
    </row>
    <row r="50" spans="4:5" x14ac:dyDescent="0.2">
      <c r="D50" s="1628"/>
      <c r="E50" s="1628"/>
    </row>
  </sheetData>
  <mergeCells count="6">
    <mergeCell ref="A5:D5"/>
    <mergeCell ref="A7:A8"/>
    <mergeCell ref="B7:B8"/>
    <mergeCell ref="C7:C8"/>
    <mergeCell ref="A2:E2"/>
    <mergeCell ref="B3:D3"/>
  </mergeCells>
  <phoneticPr fontId="0" type="noConversion"/>
  <printOptions horizontalCentered="1"/>
  <pageMargins left="0.78740157480314998" right="0.39370078740157499" top="0.196850393700787" bottom="0.196850393700787" header="0.31496062992126" footer="0.31496062992126"/>
  <pageSetup paperSize="9" scale="9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G46"/>
  <sheetViews>
    <sheetView showGridLines="0" view="pageBreakPreview" zoomScale="80" zoomScaleSheetLayoutView="80" workbookViewId="0">
      <selection activeCell="F38" sqref="F38"/>
    </sheetView>
  </sheetViews>
  <sheetFormatPr defaultColWidth="9.140625" defaultRowHeight="15" x14ac:dyDescent="0.2"/>
  <cols>
    <col min="1" max="1" width="7.140625" style="4" customWidth="1"/>
    <col min="2" max="2" width="31.42578125" style="3" customWidth="1"/>
    <col min="3" max="3" width="12.85546875" style="24" customWidth="1"/>
    <col min="4" max="4" width="26.140625" style="24" customWidth="1"/>
    <col min="5" max="5" width="26.140625" style="3" customWidth="1"/>
    <col min="6" max="6" width="19.7109375" style="3" bestFit="1" customWidth="1"/>
    <col min="7" max="7" width="17.5703125" style="3" bestFit="1" customWidth="1"/>
    <col min="8" max="8" width="11.140625" style="3" bestFit="1" customWidth="1"/>
    <col min="9" max="9" width="14.28515625" style="3" bestFit="1" customWidth="1"/>
    <col min="10" max="16384" width="9.140625" style="3"/>
  </cols>
  <sheetData>
    <row r="2" spans="1:6" x14ac:dyDescent="0.2">
      <c r="A2" s="1643" t="s">
        <v>0</v>
      </c>
      <c r="B2" s="1643"/>
      <c r="C2" s="1643"/>
      <c r="D2" s="1643"/>
      <c r="E2" s="1643"/>
    </row>
    <row r="3" spans="1:6" x14ac:dyDescent="0.2">
      <c r="C3" s="1" t="s">
        <v>1</v>
      </c>
    </row>
    <row r="4" spans="1:6" x14ac:dyDescent="0.2">
      <c r="C4" s="1"/>
    </row>
    <row r="5" spans="1:6" x14ac:dyDescent="0.2">
      <c r="C5" s="1"/>
    </row>
    <row r="6" spans="1:6" x14ac:dyDescent="0.2">
      <c r="A6" s="1640" t="s">
        <v>600</v>
      </c>
      <c r="B6" s="1640"/>
      <c r="C6" s="1640"/>
      <c r="D6" s="1640"/>
    </row>
    <row r="7" spans="1:6" x14ac:dyDescent="0.2">
      <c r="A7" s="49"/>
      <c r="B7" s="49"/>
      <c r="C7" s="49"/>
      <c r="D7" s="49"/>
    </row>
    <row r="8" spans="1:6" ht="28.5" x14ac:dyDescent="0.2">
      <c r="A8" s="1642" t="s">
        <v>482</v>
      </c>
      <c r="B8" s="1653" t="s">
        <v>63</v>
      </c>
      <c r="C8" s="1663" t="s">
        <v>404</v>
      </c>
      <c r="D8" s="99" t="s">
        <v>65</v>
      </c>
      <c r="E8" s="99" t="s">
        <v>66</v>
      </c>
    </row>
    <row r="9" spans="1:6" x14ac:dyDescent="0.2">
      <c r="A9" s="1642"/>
      <c r="B9" s="1653"/>
      <c r="C9" s="1663"/>
      <c r="D9" s="41" t="s">
        <v>223</v>
      </c>
      <c r="E9" s="41" t="s">
        <v>223</v>
      </c>
    </row>
    <row r="10" spans="1:6" x14ac:dyDescent="0.2">
      <c r="A10" s="11">
        <v>1</v>
      </c>
      <c r="B10" s="10" t="s">
        <v>601</v>
      </c>
      <c r="C10" s="129"/>
      <c r="D10" s="1630">
        <f>+'Balance Sheet and P&amp;L'!D396</f>
        <v>3816.2029633770007</v>
      </c>
      <c r="E10" s="1630">
        <f>+'Balance Sheet and P&amp;L'!E396</f>
        <v>3738.1434915330001</v>
      </c>
    </row>
    <row r="11" spans="1:6" x14ac:dyDescent="0.2">
      <c r="A11" s="11"/>
      <c r="B11" s="10" t="s">
        <v>602</v>
      </c>
      <c r="C11" s="118"/>
      <c r="D11" s="1629">
        <f>+'Balance Sheet and P&amp;L'!D397</f>
        <v>26.2301672</v>
      </c>
      <c r="E11" s="1629">
        <f>+'Balance Sheet and P&amp;L'!E397</f>
        <v>9.4250378999999995</v>
      </c>
    </row>
    <row r="12" spans="1:6" x14ac:dyDescent="0.2">
      <c r="A12" s="11"/>
      <c r="B12" s="10" t="s">
        <v>603</v>
      </c>
      <c r="C12" s="118"/>
      <c r="D12" s="1629">
        <f>+'Balance Sheet and P&amp;L'!D398</f>
        <v>9.8601437020000002</v>
      </c>
      <c r="E12" s="1629">
        <f>+'Balance Sheet and P&amp;L'!E398</f>
        <v>3.3193659129999999</v>
      </c>
    </row>
    <row r="13" spans="1:6" x14ac:dyDescent="0.2">
      <c r="A13" s="11"/>
      <c r="B13" s="10" t="s">
        <v>604</v>
      </c>
      <c r="C13" s="118"/>
      <c r="D13" s="35">
        <f>+'Balance Sheet and P&amp;L'!D399</f>
        <v>-359.14347459999999</v>
      </c>
      <c r="E13" s="35">
        <f>+'Balance Sheet and P&amp;L'!E399</f>
        <v>-227.3501321</v>
      </c>
    </row>
    <row r="14" spans="1:6" x14ac:dyDescent="0.2">
      <c r="A14" s="11"/>
      <c r="B14" s="10"/>
      <c r="C14" s="118"/>
      <c r="D14" s="130"/>
      <c r="E14" s="14"/>
    </row>
    <row r="15" spans="1:6" x14ac:dyDescent="0.2">
      <c r="A15" s="11">
        <v>2</v>
      </c>
      <c r="B15" s="10" t="s">
        <v>605</v>
      </c>
      <c r="C15" s="118"/>
      <c r="D15" s="14"/>
      <c r="E15" s="14"/>
      <c r="F15" s="20"/>
    </row>
    <row r="16" spans="1:6" x14ac:dyDescent="0.2">
      <c r="A16" s="11"/>
      <c r="B16" s="10" t="s">
        <v>176</v>
      </c>
      <c r="C16" s="118"/>
      <c r="D16" s="14"/>
      <c r="E16" s="14"/>
      <c r="F16" s="20"/>
    </row>
    <row r="17" spans="1:7" x14ac:dyDescent="0.2">
      <c r="A17" s="11"/>
      <c r="B17" s="9" t="s">
        <v>92</v>
      </c>
      <c r="C17" s="118"/>
      <c r="D17" s="1631">
        <f>SUM(D10:D16)</f>
        <v>3493.1497996790008</v>
      </c>
      <c r="E17" s="1631">
        <f>SUM(E10:E16)</f>
        <v>3523.5377632460004</v>
      </c>
      <c r="G17" s="15"/>
    </row>
    <row r="18" spans="1:7" x14ac:dyDescent="0.2">
      <c r="A18" s="11"/>
      <c r="B18" s="21"/>
      <c r="C18" s="128"/>
      <c r="D18" s="17"/>
      <c r="E18" s="17"/>
    </row>
    <row r="19" spans="1:7" x14ac:dyDescent="0.2">
      <c r="B19" s="38"/>
      <c r="C19" s="131"/>
      <c r="D19" s="18"/>
      <c r="E19" s="18"/>
    </row>
    <row r="20" spans="1:7" x14ac:dyDescent="0.2">
      <c r="B20" s="38"/>
      <c r="C20" s="131"/>
      <c r="D20" s="18"/>
      <c r="E20" s="18"/>
    </row>
    <row r="21" spans="1:7" x14ac:dyDescent="0.2">
      <c r="B21" s="38"/>
      <c r="C21" s="131"/>
      <c r="D21" s="18"/>
      <c r="E21" s="18"/>
    </row>
    <row r="22" spans="1:7" x14ac:dyDescent="0.2">
      <c r="A22" s="1640" t="s">
        <v>606</v>
      </c>
      <c r="B22" s="1640"/>
      <c r="C22" s="1640"/>
      <c r="D22" s="1640"/>
    </row>
    <row r="23" spans="1:7" x14ac:dyDescent="0.2">
      <c r="A23" s="49"/>
      <c r="B23" s="49"/>
      <c r="C23" s="49"/>
      <c r="D23" s="49"/>
    </row>
    <row r="24" spans="1:7" ht="28.5" x14ac:dyDescent="0.2">
      <c r="A24" s="1642" t="s">
        <v>482</v>
      </c>
      <c r="B24" s="1653" t="s">
        <v>63</v>
      </c>
      <c r="C24" s="1642" t="s">
        <v>222</v>
      </c>
      <c r="D24" s="99" t="s">
        <v>65</v>
      </c>
      <c r="E24" s="99" t="s">
        <v>66</v>
      </c>
    </row>
    <row r="25" spans="1:7" x14ac:dyDescent="0.2">
      <c r="A25" s="1642"/>
      <c r="B25" s="1653"/>
      <c r="C25" s="1642"/>
      <c r="D25" s="41" t="s">
        <v>223</v>
      </c>
      <c r="E25" s="41" t="s">
        <v>223</v>
      </c>
    </row>
    <row r="26" spans="1:7" x14ac:dyDescent="0.2">
      <c r="A26" s="11"/>
      <c r="B26" s="10" t="s">
        <v>607</v>
      </c>
      <c r="C26" s="118"/>
      <c r="D26" s="14"/>
      <c r="E26" s="14"/>
    </row>
    <row r="27" spans="1:7" x14ac:dyDescent="0.2">
      <c r="A27" s="11">
        <v>1</v>
      </c>
      <c r="B27" s="10" t="s">
        <v>470</v>
      </c>
      <c r="C27" s="118"/>
      <c r="D27" s="35">
        <f>+'FA Final'!E20+'FA Final'!F20</f>
        <v>66.721750993000001</v>
      </c>
      <c r="E27" s="35">
        <f>+'FA Final'!E17+'FA Final'!F17</f>
        <v>117.343479301</v>
      </c>
    </row>
    <row r="28" spans="1:7" x14ac:dyDescent="0.2">
      <c r="A28" s="11">
        <v>2</v>
      </c>
      <c r="B28" s="10" t="s">
        <v>608</v>
      </c>
      <c r="C28" s="118"/>
      <c r="D28" s="35">
        <f>+'FA Final'!H20+'FA Final'!I20</f>
        <v>85.707255484000001</v>
      </c>
      <c r="E28" s="35">
        <f>+'FA Final'!H17+'FA Final'!I17</f>
        <v>116.108487606</v>
      </c>
    </row>
    <row r="29" spans="1:7" x14ac:dyDescent="0.2">
      <c r="A29" s="11">
        <v>3</v>
      </c>
      <c r="B29" s="43" t="s">
        <v>609</v>
      </c>
      <c r="C29" s="11"/>
      <c r="D29" s="35">
        <f>+'FA Final'!J20</f>
        <v>2246.210439557</v>
      </c>
      <c r="E29" s="35">
        <f>+'FA Final'!J17</f>
        <v>2110.4148255560003</v>
      </c>
    </row>
    <row r="30" spans="1:7" x14ac:dyDescent="0.2">
      <c r="A30" s="11">
        <v>4</v>
      </c>
      <c r="B30" s="43" t="s">
        <v>471</v>
      </c>
      <c r="C30" s="133"/>
      <c r="D30" s="12">
        <f>+'FA Final'!G20</f>
        <v>140.86410847900001</v>
      </c>
      <c r="E30" s="12">
        <f>+'FA Final'!G17</f>
        <v>140.11701600999999</v>
      </c>
    </row>
    <row r="31" spans="1:7" x14ac:dyDescent="0.2">
      <c r="A31" s="11">
        <v>5</v>
      </c>
      <c r="B31" s="10" t="s">
        <v>610</v>
      </c>
      <c r="C31" s="133"/>
      <c r="D31" s="12">
        <f>+'FA Final'!K20</f>
        <v>26.877271499999999</v>
      </c>
      <c r="E31" s="12">
        <f>+'FA Final'!K17</f>
        <v>23.650782100000001</v>
      </c>
    </row>
    <row r="32" spans="1:7" x14ac:dyDescent="0.2">
      <c r="A32" s="11">
        <v>6</v>
      </c>
      <c r="B32" s="10" t="s">
        <v>475</v>
      </c>
      <c r="C32" s="133"/>
      <c r="D32" s="12">
        <f>+'FA Final'!L20</f>
        <v>4.6919517700000002</v>
      </c>
      <c r="E32" s="12">
        <f>+'FA Final'!L17</f>
        <v>3.4598893890000002</v>
      </c>
    </row>
    <row r="33" spans="1:6" x14ac:dyDescent="0.2">
      <c r="A33" s="11">
        <v>7</v>
      </c>
      <c r="B33" s="10" t="s">
        <v>490</v>
      </c>
      <c r="C33" s="133"/>
      <c r="D33" s="12">
        <f>+'FA Final'!M20</f>
        <v>2.6841433920000002</v>
      </c>
      <c r="E33" s="12">
        <f>+'FA Final'!M17</f>
        <v>2.9858798019999999</v>
      </c>
    </row>
    <row r="34" spans="1:6" x14ac:dyDescent="0.2">
      <c r="A34" s="11">
        <v>8</v>
      </c>
      <c r="B34" s="10" t="s">
        <v>477</v>
      </c>
      <c r="C34" s="133"/>
      <c r="D34" s="12">
        <f>+'FA Final'!N20</f>
        <v>7.1403556629999994</v>
      </c>
      <c r="E34" s="12">
        <f>+'FA Final'!N17</f>
        <v>6.0509365109999997</v>
      </c>
    </row>
    <row r="35" spans="1:6" x14ac:dyDescent="0.2">
      <c r="A35" s="11">
        <v>9</v>
      </c>
      <c r="B35" s="10" t="s">
        <v>611</v>
      </c>
      <c r="C35" s="133"/>
      <c r="D35" s="12">
        <f>+'FA Final'!D20</f>
        <v>4.2543571</v>
      </c>
      <c r="E35" s="12">
        <f>+'FA Final'!D17</f>
        <v>4.9164796500000003</v>
      </c>
    </row>
    <row r="36" spans="1:6" x14ac:dyDescent="0.2">
      <c r="A36" s="11">
        <v>10</v>
      </c>
      <c r="B36" s="10" t="s">
        <v>397</v>
      </c>
      <c r="C36" s="133"/>
      <c r="D36" s="12">
        <f>+'FA Final'!O20</f>
        <v>3.7538632000000001</v>
      </c>
      <c r="E36" s="12">
        <f>+'FA Final'!O17</f>
        <v>4.8898485599999999</v>
      </c>
    </row>
    <row r="37" spans="1:6" x14ac:dyDescent="0.2">
      <c r="A37" s="11"/>
      <c r="B37" s="10" t="s">
        <v>92</v>
      </c>
      <c r="C37" s="133"/>
      <c r="D37" s="1593">
        <f>SUM(D27:D36)</f>
        <v>2588.9054971379996</v>
      </c>
      <c r="E37" s="1593">
        <f>SUM(E27:E36)</f>
        <v>2529.9376244850005</v>
      </c>
    </row>
    <row r="38" spans="1:6" x14ac:dyDescent="0.2">
      <c r="A38" s="11"/>
      <c r="B38" s="10" t="s">
        <v>612</v>
      </c>
      <c r="C38" s="133"/>
      <c r="D38" s="133">
        <f>+'FA Final'!Q20</f>
        <v>1.6205208659999963</v>
      </c>
      <c r="E38" s="133">
        <f>+'FA Final'!Q17</f>
        <v>0.23109170000000001</v>
      </c>
      <c r="F38" s="13"/>
    </row>
    <row r="39" spans="1:6" x14ac:dyDescent="0.2">
      <c r="A39" s="11"/>
      <c r="B39" s="10" t="s">
        <v>176</v>
      </c>
      <c r="C39" s="133"/>
      <c r="D39" s="133"/>
      <c r="E39" s="10"/>
    </row>
    <row r="40" spans="1:6" x14ac:dyDescent="0.2">
      <c r="A40" s="11">
        <v>11</v>
      </c>
      <c r="B40" s="10" t="s">
        <v>613</v>
      </c>
      <c r="C40" s="133"/>
      <c r="D40" s="133">
        <f>+'Note 1A'!C17+'Note 1A'!D17</f>
        <v>253.82251429999999</v>
      </c>
      <c r="E40" s="133">
        <f>+'Note 1A'!D14+'Note 1A'!C14</f>
        <v>255.62625589999999</v>
      </c>
    </row>
    <row r="41" spans="1:6" x14ac:dyDescent="0.2">
      <c r="A41" s="11">
        <v>12</v>
      </c>
      <c r="B41" s="10" t="s">
        <v>614</v>
      </c>
      <c r="C41" s="133"/>
      <c r="D41" s="133">
        <f>+'Note 1A'!C40</f>
        <v>1.7311343879999999</v>
      </c>
      <c r="E41" s="10">
        <f>+'Note 1A'!C37</f>
        <v>2.7501118350000002</v>
      </c>
    </row>
    <row r="42" spans="1:6" x14ac:dyDescent="0.2">
      <c r="A42" s="11"/>
      <c r="B42" s="10" t="s">
        <v>92</v>
      </c>
      <c r="C42" s="133"/>
      <c r="D42" s="1593">
        <f>+D37-D38+D41+D40</f>
        <v>2842.8386249599998</v>
      </c>
      <c r="E42" s="1593">
        <f>+E37-E38+E41+E40</f>
        <v>2788.0829005200007</v>
      </c>
    </row>
    <row r="43" spans="1:6" x14ac:dyDescent="0.2">
      <c r="A43" s="11"/>
      <c r="B43" s="10" t="s">
        <v>176</v>
      </c>
      <c r="C43" s="133"/>
      <c r="D43" s="133"/>
      <c r="E43" s="10"/>
    </row>
    <row r="44" spans="1:6" x14ac:dyDescent="0.2">
      <c r="A44" s="11"/>
      <c r="B44" s="10" t="s">
        <v>176</v>
      </c>
      <c r="C44" s="133"/>
      <c r="D44" s="133"/>
      <c r="E44" s="10"/>
    </row>
    <row r="46" spans="1:6" x14ac:dyDescent="0.2">
      <c r="A46" s="5" t="s">
        <v>243</v>
      </c>
      <c r="B46" s="3" t="s">
        <v>153</v>
      </c>
    </row>
  </sheetData>
  <mergeCells count="9">
    <mergeCell ref="A2:E2"/>
    <mergeCell ref="A24:A25"/>
    <mergeCell ref="B24:B25"/>
    <mergeCell ref="C24:C25"/>
    <mergeCell ref="A6:D6"/>
    <mergeCell ref="A8:A9"/>
    <mergeCell ref="B8:B9"/>
    <mergeCell ref="C8:C9"/>
    <mergeCell ref="A22:D22"/>
  </mergeCells>
  <phoneticPr fontId="0" type="noConversion"/>
  <printOptions horizontalCentered="1"/>
  <pageMargins left="0.78740157480314965" right="0.39370078740157483" top="0.78740157480314965" bottom="0.19685039370078741" header="0.31496062992125984" footer="0.31496062992125984"/>
  <pageSetup paperSize="9" scale="7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2:E26"/>
  <sheetViews>
    <sheetView showGridLines="0" view="pageBreakPreview" zoomScale="90" zoomScaleSheetLayoutView="90" workbookViewId="0">
      <selection activeCell="D9" sqref="D9"/>
    </sheetView>
  </sheetViews>
  <sheetFormatPr defaultColWidth="9.140625" defaultRowHeight="15" x14ac:dyDescent="0.2"/>
  <cols>
    <col min="1" max="1" width="6.7109375" style="4" customWidth="1"/>
    <col min="2" max="2" width="32.28515625" style="3" customWidth="1"/>
    <col min="3" max="3" width="10.42578125" style="3" bestFit="1" customWidth="1"/>
    <col min="4" max="4" width="24.42578125" style="3" customWidth="1"/>
    <col min="5" max="5" width="25.140625" style="3" customWidth="1"/>
    <col min="6" max="6" width="12.5703125" style="3" bestFit="1" customWidth="1"/>
    <col min="7" max="7" width="13.85546875" style="3" bestFit="1" customWidth="1"/>
    <col min="8" max="8" width="12.5703125" style="3" bestFit="1" customWidth="1"/>
    <col min="9" max="12" width="9.140625" style="3"/>
    <col min="13" max="13" width="10.5703125" style="3" bestFit="1" customWidth="1"/>
    <col min="14" max="16384" width="9.140625" style="3"/>
  </cols>
  <sheetData>
    <row r="2" spans="1:5" x14ac:dyDescent="0.2">
      <c r="A2" s="1643" t="s">
        <v>0</v>
      </c>
      <c r="B2" s="1643"/>
      <c r="C2" s="1643"/>
      <c r="D2" s="1643"/>
      <c r="E2" s="1643"/>
    </row>
    <row r="3" spans="1:5" x14ac:dyDescent="0.2">
      <c r="C3" s="1" t="s">
        <v>1</v>
      </c>
    </row>
    <row r="5" spans="1:5" x14ac:dyDescent="0.2">
      <c r="A5" s="1640" t="s">
        <v>615</v>
      </c>
      <c r="B5" s="1640"/>
      <c r="C5" s="1640"/>
      <c r="D5" s="1640"/>
    </row>
    <row r="6" spans="1:5" x14ac:dyDescent="0.2">
      <c r="A6" s="49"/>
      <c r="B6" s="49"/>
      <c r="C6" s="49"/>
      <c r="D6" s="49"/>
    </row>
    <row r="7" spans="1:5" ht="42.75" x14ac:dyDescent="0.2">
      <c r="A7" s="1642" t="s">
        <v>482</v>
      </c>
      <c r="B7" s="1653" t="s">
        <v>63</v>
      </c>
      <c r="C7" s="1642" t="s">
        <v>404</v>
      </c>
      <c r="D7" s="99" t="s">
        <v>65</v>
      </c>
      <c r="E7" s="99" t="s">
        <v>66</v>
      </c>
    </row>
    <row r="8" spans="1:5" x14ac:dyDescent="0.2">
      <c r="A8" s="1642"/>
      <c r="B8" s="1653"/>
      <c r="C8" s="1642"/>
      <c r="D8" s="41" t="s">
        <v>223</v>
      </c>
      <c r="E8" s="41" t="s">
        <v>223</v>
      </c>
    </row>
    <row r="9" spans="1:5" x14ac:dyDescent="0.2">
      <c r="A9" s="11">
        <v>1</v>
      </c>
      <c r="B9" s="43" t="s">
        <v>473</v>
      </c>
      <c r="C9" s="119"/>
      <c r="D9" s="35">
        <f>+'Balance Sheet and P&amp;L'!D406</f>
        <v>1527.56842052</v>
      </c>
      <c r="E9" s="35">
        <f>+'Balance Sheet and P&amp;L'!E406</f>
        <v>1330.2547763730001</v>
      </c>
    </row>
    <row r="10" spans="1:5" x14ac:dyDescent="0.2">
      <c r="A10" s="11">
        <v>2</v>
      </c>
      <c r="B10" s="10" t="s">
        <v>616</v>
      </c>
      <c r="C10" s="119"/>
      <c r="D10" s="35">
        <f>+'Balance Sheet and P&amp;L'!D407</f>
        <v>0.76706291599999998</v>
      </c>
      <c r="E10" s="35">
        <f>+'Balance Sheet and P&amp;L'!E407</f>
        <v>1.14329141</v>
      </c>
    </row>
    <row r="11" spans="1:5" x14ac:dyDescent="0.2">
      <c r="A11" s="11">
        <v>3</v>
      </c>
      <c r="B11" s="43"/>
      <c r="C11" s="119"/>
      <c r="D11" s="17"/>
      <c r="E11" s="17"/>
    </row>
    <row r="12" spans="1:5" x14ac:dyDescent="0.2">
      <c r="A12" s="11">
        <v>4</v>
      </c>
      <c r="B12" s="43"/>
      <c r="C12" s="119"/>
      <c r="D12" s="17"/>
      <c r="E12" s="17"/>
    </row>
    <row r="13" spans="1:5" x14ac:dyDescent="0.2">
      <c r="A13" s="11">
        <v>5</v>
      </c>
      <c r="B13" s="43"/>
      <c r="C13" s="119"/>
      <c r="D13" s="17"/>
      <c r="E13" s="17"/>
    </row>
    <row r="14" spans="1:5" x14ac:dyDescent="0.2">
      <c r="A14" s="11">
        <v>6</v>
      </c>
      <c r="B14" s="43"/>
      <c r="C14" s="19"/>
      <c r="D14" s="14"/>
      <c r="E14" s="14"/>
    </row>
    <row r="15" spans="1:5" x14ac:dyDescent="0.2">
      <c r="A15" s="11">
        <v>7</v>
      </c>
      <c r="B15" s="43"/>
      <c r="C15" s="10"/>
      <c r="D15" s="17"/>
      <c r="E15" s="17"/>
    </row>
    <row r="16" spans="1:5" x14ac:dyDescent="0.2">
      <c r="A16" s="11"/>
      <c r="B16" s="10" t="s">
        <v>176</v>
      </c>
      <c r="C16" s="10"/>
      <c r="D16" s="10"/>
      <c r="E16" s="10"/>
    </row>
    <row r="17" spans="1:5" x14ac:dyDescent="0.2">
      <c r="A17" s="11"/>
      <c r="B17" s="10" t="s">
        <v>176</v>
      </c>
      <c r="C17" s="10"/>
      <c r="D17" s="10"/>
      <c r="E17" s="10"/>
    </row>
    <row r="18" spans="1:5" x14ac:dyDescent="0.2">
      <c r="A18" s="11"/>
      <c r="B18" s="21" t="s">
        <v>92</v>
      </c>
      <c r="C18" s="10"/>
      <c r="D18" s="1593">
        <f>SUM(D9:D17)</f>
        <v>1528.335483436</v>
      </c>
      <c r="E18" s="1593">
        <f>SUM(E9:E17)</f>
        <v>1331.3980677830002</v>
      </c>
    </row>
    <row r="19" spans="1:5" x14ac:dyDescent="0.2">
      <c r="A19" s="11"/>
      <c r="B19" s="10" t="s">
        <v>617</v>
      </c>
      <c r="C19" s="10"/>
      <c r="D19" s="10"/>
      <c r="E19" s="10"/>
    </row>
    <row r="20" spans="1:5" x14ac:dyDescent="0.2">
      <c r="A20" s="11"/>
      <c r="B20" s="10" t="s">
        <v>176</v>
      </c>
      <c r="C20" s="10"/>
      <c r="D20" s="10"/>
      <c r="E20" s="10"/>
    </row>
    <row r="21" spans="1:5" x14ac:dyDescent="0.2">
      <c r="A21" s="11"/>
      <c r="B21" s="10" t="s">
        <v>176</v>
      </c>
      <c r="C21" s="10"/>
      <c r="D21" s="10"/>
      <c r="E21" s="10"/>
    </row>
    <row r="22" spans="1:5" x14ac:dyDescent="0.2">
      <c r="A22" s="11"/>
      <c r="B22" s="10" t="s">
        <v>92</v>
      </c>
      <c r="C22" s="10"/>
      <c r="D22" s="10"/>
      <c r="E22" s="10"/>
    </row>
    <row r="23" spans="1:5" x14ac:dyDescent="0.2">
      <c r="A23" s="11"/>
      <c r="B23" s="10" t="s">
        <v>599</v>
      </c>
      <c r="C23" s="10"/>
      <c r="D23" s="10"/>
      <c r="E23" s="10"/>
    </row>
    <row r="24" spans="1:5" x14ac:dyDescent="0.2">
      <c r="A24" s="11"/>
      <c r="B24" s="10" t="s">
        <v>508</v>
      </c>
      <c r="C24" s="10"/>
      <c r="D24" s="10"/>
      <c r="E24" s="10"/>
    </row>
    <row r="26" spans="1:5" x14ac:dyDescent="0.2">
      <c r="A26" s="5" t="s">
        <v>243</v>
      </c>
      <c r="B26" s="3" t="s">
        <v>153</v>
      </c>
    </row>
  </sheetData>
  <mergeCells count="5">
    <mergeCell ref="A5:D5"/>
    <mergeCell ref="A7:A8"/>
    <mergeCell ref="B7:B8"/>
    <mergeCell ref="C7:C8"/>
    <mergeCell ref="A2:E2"/>
  </mergeCells>
  <printOptions horizontalCentered="1"/>
  <pageMargins left="0.78740157480314965" right="0.39370078740157483" top="0.78740157480314965" bottom="0.19685039370078741"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F52"/>
  <sheetViews>
    <sheetView showGridLines="0" view="pageBreakPreview" zoomScale="90" zoomScaleSheetLayoutView="90" workbookViewId="0">
      <selection activeCell="D28" sqref="D28"/>
    </sheetView>
  </sheetViews>
  <sheetFormatPr defaultColWidth="19.85546875" defaultRowHeight="15" x14ac:dyDescent="0.2"/>
  <cols>
    <col min="1" max="1" width="7.42578125" style="4" bestFit="1" customWidth="1"/>
    <col min="2" max="2" width="64.85546875" style="3" customWidth="1"/>
    <col min="3" max="3" width="23.42578125" style="4" bestFit="1" customWidth="1"/>
    <col min="4" max="4" width="22.42578125" style="3" customWidth="1"/>
    <col min="5" max="5" width="21.7109375" style="83" customWidth="1"/>
    <col min="6" max="6" width="19.85546875" style="3" customWidth="1"/>
    <col min="7" max="16384" width="19.85546875" style="3"/>
  </cols>
  <sheetData>
    <row r="2" spans="1:6" x14ac:dyDescent="0.2">
      <c r="A2" s="1643" t="s">
        <v>0</v>
      </c>
      <c r="B2" s="1643"/>
      <c r="C2" s="1643"/>
      <c r="D2" s="1643"/>
      <c r="E2" s="1643"/>
    </row>
    <row r="3" spans="1:6" x14ac:dyDescent="0.2">
      <c r="B3" s="1643" t="s">
        <v>1</v>
      </c>
      <c r="C3" s="1643"/>
      <c r="D3" s="1643"/>
    </row>
    <row r="5" spans="1:6" x14ac:dyDescent="0.2">
      <c r="A5" s="1640" t="s">
        <v>618</v>
      </c>
      <c r="B5" s="1640"/>
      <c r="C5" s="1640"/>
      <c r="D5" s="1640"/>
    </row>
    <row r="6" spans="1:6" x14ac:dyDescent="0.2">
      <c r="A6" s="49"/>
      <c r="B6" s="49"/>
      <c r="C6" s="49"/>
      <c r="D6" s="49"/>
    </row>
    <row r="7" spans="1:6" ht="42.75" x14ac:dyDescent="0.2">
      <c r="A7" s="1653" t="s">
        <v>510</v>
      </c>
      <c r="B7" s="1653" t="s">
        <v>63</v>
      </c>
      <c r="C7" s="1642" t="s">
        <v>404</v>
      </c>
      <c r="D7" s="99" t="s">
        <v>65</v>
      </c>
      <c r="E7" s="99" t="s">
        <v>66</v>
      </c>
    </row>
    <row r="8" spans="1:6" x14ac:dyDescent="0.2">
      <c r="A8" s="1653"/>
      <c r="B8" s="1653"/>
      <c r="C8" s="1642"/>
      <c r="D8" s="41" t="s">
        <v>223</v>
      </c>
      <c r="E8" s="41" t="s">
        <v>223</v>
      </c>
    </row>
    <row r="9" spans="1:6" x14ac:dyDescent="0.2">
      <c r="A9" s="11">
        <v>1</v>
      </c>
      <c r="B9" s="10" t="s">
        <v>619</v>
      </c>
      <c r="C9" s="11"/>
      <c r="D9" s="35">
        <f>+'Balance Sheet and P&amp;L'!D403+'Balance Sheet and P&amp;L'!D409</f>
        <v>53.844310730000004</v>
      </c>
      <c r="E9" s="35">
        <f>+'Balance Sheet and P&amp;L'!E403+'Balance Sheet and P&amp;L'!E409</f>
        <v>28.072862059999999</v>
      </c>
      <c r="F9" s="83"/>
    </row>
    <row r="10" spans="1:6" x14ac:dyDescent="0.2">
      <c r="A10" s="11">
        <v>2</v>
      </c>
      <c r="B10" s="10" t="s">
        <v>620</v>
      </c>
      <c r="C10" s="19"/>
      <c r="D10" s="35">
        <f>+'Balance Sheet and P&amp;L'!D408</f>
        <v>26.908011381000001</v>
      </c>
      <c r="E10" s="35">
        <f>+'Balance Sheet and P&amp;L'!E408</f>
        <v>32.901833240000002</v>
      </c>
    </row>
    <row r="11" spans="1:6" x14ac:dyDescent="0.2">
      <c r="A11" s="11">
        <v>3</v>
      </c>
      <c r="B11" s="43" t="s">
        <v>621</v>
      </c>
      <c r="C11" s="119"/>
      <c r="D11" s="35">
        <v>0</v>
      </c>
      <c r="E11" s="35">
        <v>0</v>
      </c>
    </row>
    <row r="12" spans="1:6" x14ac:dyDescent="0.2">
      <c r="A12" s="11">
        <v>4</v>
      </c>
      <c r="B12" s="10" t="s">
        <v>622</v>
      </c>
      <c r="C12" s="118"/>
      <c r="D12" s="35">
        <f>+'Balance Sheet and P&amp;L'!D414</f>
        <v>38.445306602000002</v>
      </c>
      <c r="E12" s="35">
        <f>+'Balance Sheet and P&amp;L'!E414</f>
        <v>29.028856476999998</v>
      </c>
    </row>
    <row r="13" spans="1:6" x14ac:dyDescent="0.2">
      <c r="A13" s="11">
        <v>5</v>
      </c>
      <c r="B13" s="43" t="s">
        <v>623</v>
      </c>
      <c r="C13" s="8"/>
      <c r="D13" s="35">
        <f>+'Balance Sheet and P&amp;L'!D429+'Balance Sheet and P&amp;L'!D430+'Balance Sheet and P&amp;L'!D431+'Balance Sheet and P&amp;L'!D432</f>
        <v>0.77844440000000004</v>
      </c>
      <c r="E13" s="1595">
        <f>+'Balance Sheet and P&amp;L'!E429+'Balance Sheet and P&amp;L'!E430+'Balance Sheet and P&amp;L'!E431+'Balance Sheet and P&amp;L'!E432</f>
        <v>0.78236969999999995</v>
      </c>
    </row>
    <row r="14" spans="1:6" x14ac:dyDescent="0.2">
      <c r="A14" s="11">
        <v>6</v>
      </c>
      <c r="B14" s="10" t="s">
        <v>624</v>
      </c>
      <c r="C14" s="11"/>
      <c r="D14" s="35">
        <f>+'Balance Sheet and P&amp;L'!D411</f>
        <v>28.635460676000001</v>
      </c>
      <c r="E14" s="35">
        <f>+'Balance Sheet and P&amp;L'!E411</f>
        <v>10.939209062</v>
      </c>
    </row>
    <row r="15" spans="1:6" x14ac:dyDescent="0.2">
      <c r="A15" s="45">
        <v>7</v>
      </c>
      <c r="B15" s="10" t="s">
        <v>625</v>
      </c>
      <c r="C15" s="40"/>
      <c r="D15" s="1632"/>
      <c r="E15" s="1632"/>
    </row>
    <row r="16" spans="1:6" x14ac:dyDescent="0.2">
      <c r="A16" s="11">
        <v>8</v>
      </c>
      <c r="B16" s="10" t="s">
        <v>626</v>
      </c>
      <c r="C16" s="11"/>
      <c r="D16" s="35">
        <f>+'Balance Sheet and P&amp;L'!D413</f>
        <v>0.17906525300000001</v>
      </c>
      <c r="E16" s="35">
        <f>+'Balance Sheet and P&amp;L'!E413</f>
        <v>5.9982177000000005E-2</v>
      </c>
    </row>
    <row r="17" spans="1:5" x14ac:dyDescent="0.2">
      <c r="A17" s="11">
        <v>9</v>
      </c>
      <c r="B17" s="10" t="s">
        <v>627</v>
      </c>
      <c r="C17" s="11"/>
      <c r="D17" s="35">
        <v>0</v>
      </c>
      <c r="E17" s="35">
        <v>0</v>
      </c>
    </row>
    <row r="18" spans="1:5" x14ac:dyDescent="0.2">
      <c r="A18" s="11">
        <v>10</v>
      </c>
      <c r="B18" s="10" t="s">
        <v>628</v>
      </c>
      <c r="C18" s="11"/>
      <c r="D18" s="35">
        <f>+'Balance Sheet and P&amp;L'!D416</f>
        <v>18.280990943999999</v>
      </c>
      <c r="E18" s="35">
        <f>+'Balance Sheet and P&amp;L'!E416</f>
        <v>5.531187482</v>
      </c>
    </row>
    <row r="19" spans="1:5" x14ac:dyDescent="0.2">
      <c r="A19" s="11">
        <v>11</v>
      </c>
      <c r="B19" s="10" t="s">
        <v>629</v>
      </c>
      <c r="C19" s="11"/>
      <c r="D19" s="35">
        <f>+'Balance Sheet and P&amp;L'!D417</f>
        <v>10.342248376999999</v>
      </c>
      <c r="E19" s="35">
        <f>+'Balance Sheet and P&amp;L'!E417</f>
        <v>3.7052174999999998</v>
      </c>
    </row>
    <row r="20" spans="1:5" x14ac:dyDescent="0.2">
      <c r="A20" s="11">
        <v>12</v>
      </c>
      <c r="B20" s="10" t="s">
        <v>630</v>
      </c>
      <c r="C20" s="11"/>
      <c r="D20" s="35">
        <f>+'Balance Sheet and P&amp;L'!D418</f>
        <v>10.746824050000001</v>
      </c>
      <c r="E20" s="35">
        <f>+'Balance Sheet and P&amp;L'!E418</f>
        <v>106.753225925</v>
      </c>
    </row>
    <row r="21" spans="1:5" x14ac:dyDescent="0.2">
      <c r="A21" s="11">
        <v>13</v>
      </c>
      <c r="B21" s="10" t="s">
        <v>631</v>
      </c>
      <c r="C21" s="11"/>
      <c r="D21" s="35">
        <f>+'Balance Sheet and P&amp;L'!D420</f>
        <v>142.994912196</v>
      </c>
      <c r="E21" s="35">
        <f>+'Balance Sheet and P&amp;L'!E420</f>
        <v>114.965909913</v>
      </c>
    </row>
    <row r="22" spans="1:5" x14ac:dyDescent="0.2">
      <c r="A22" s="11">
        <v>14</v>
      </c>
      <c r="B22" s="10" t="s">
        <v>632</v>
      </c>
      <c r="C22" s="11"/>
      <c r="D22" s="35">
        <f>+'Balance Sheet and P&amp;L'!D422</f>
        <v>35.735643924000001</v>
      </c>
      <c r="E22" s="35">
        <f>+'Balance Sheet and P&amp;L'!E422</f>
        <v>28.391812718000001</v>
      </c>
    </row>
    <row r="23" spans="1:5" x14ac:dyDescent="0.2">
      <c r="A23" s="11">
        <v>15</v>
      </c>
      <c r="B23" s="10" t="s">
        <v>633</v>
      </c>
      <c r="C23" s="11"/>
      <c r="D23" s="35"/>
      <c r="E23" s="35"/>
    </row>
    <row r="24" spans="1:5" x14ac:dyDescent="0.2">
      <c r="A24" s="11">
        <v>16</v>
      </c>
      <c r="B24" s="10" t="s">
        <v>634</v>
      </c>
      <c r="C24" s="11"/>
      <c r="D24" s="35">
        <f>+'Balance Sheet and P&amp;L'!D424</f>
        <v>0.29646620099999998</v>
      </c>
      <c r="E24" s="35">
        <f>+'Balance Sheet and P&amp;L'!E424</f>
        <v>26.625149478000001</v>
      </c>
    </row>
    <row r="25" spans="1:5" x14ac:dyDescent="0.2">
      <c r="A25" s="11">
        <v>17</v>
      </c>
      <c r="B25" s="10" t="s">
        <v>635</v>
      </c>
      <c r="C25" s="11"/>
      <c r="D25" s="35">
        <f>+'Balance Sheet and P&amp;L'!D425</f>
        <v>5.5115138110000004</v>
      </c>
      <c r="E25" s="35">
        <f>+'Balance Sheet and P&amp;L'!E425</f>
        <v>1.337666536</v>
      </c>
    </row>
    <row r="26" spans="1:5" x14ac:dyDescent="0.2">
      <c r="A26" s="11">
        <v>18</v>
      </c>
      <c r="B26" s="10" t="s">
        <v>636</v>
      </c>
      <c r="C26" s="11"/>
      <c r="D26" s="35">
        <f>+'Balance Sheet and P&amp;L'!D404</f>
        <v>82.875600000000006</v>
      </c>
      <c r="E26" s="35">
        <f>+'Balance Sheet and P&amp;L'!E404</f>
        <v>84.788999799999999</v>
      </c>
    </row>
    <row r="27" spans="1:5" x14ac:dyDescent="0.2">
      <c r="A27" s="11">
        <v>19</v>
      </c>
      <c r="B27" s="10" t="s">
        <v>637</v>
      </c>
      <c r="C27" s="11"/>
      <c r="D27" s="35">
        <f>+'Balance Sheet and P&amp;L'!D426</f>
        <v>179.08925009999999</v>
      </c>
      <c r="E27" s="35">
        <f>+'Balance Sheet and P&amp;L'!E426</f>
        <v>0</v>
      </c>
    </row>
    <row r="28" spans="1:5" x14ac:dyDescent="0.2">
      <c r="A28" s="11">
        <v>20</v>
      </c>
      <c r="B28" s="10" t="s">
        <v>638</v>
      </c>
      <c r="C28" s="11"/>
      <c r="D28" s="35">
        <f>+'Balance Sheet and P&amp;L'!D423</f>
        <v>74.081385744000002</v>
      </c>
      <c r="E28" s="35">
        <f>+'Balance Sheet and P&amp;L'!E423</f>
        <v>159.04222197999999</v>
      </c>
    </row>
    <row r="29" spans="1:5" x14ac:dyDescent="0.2">
      <c r="A29" s="11">
        <v>21</v>
      </c>
      <c r="B29" s="10" t="s">
        <v>639</v>
      </c>
      <c r="C29" s="11"/>
      <c r="D29" s="35">
        <f>+'Balance Sheet and P&amp;L'!D421</f>
        <v>74.362762492000002</v>
      </c>
      <c r="E29" s="35">
        <f>+'Balance Sheet and P&amp;L'!E421</f>
        <v>56.342442502999994</v>
      </c>
    </row>
    <row r="30" spans="1:5" x14ac:dyDescent="0.2">
      <c r="A30" s="11"/>
      <c r="B30" s="21" t="s">
        <v>242</v>
      </c>
      <c r="C30" s="11"/>
      <c r="D30" s="1595">
        <f>SUM(D9:D29)</f>
        <v>783.10819688100003</v>
      </c>
      <c r="E30" s="1595">
        <f>SUM(E9:E29)</f>
        <v>689.268946551</v>
      </c>
    </row>
    <row r="31" spans="1:5" x14ac:dyDescent="0.2">
      <c r="A31" s="11"/>
      <c r="B31" s="10" t="s">
        <v>640</v>
      </c>
      <c r="C31" s="11"/>
      <c r="D31" s="10"/>
      <c r="E31" s="141"/>
    </row>
    <row r="32" spans="1:5" x14ac:dyDescent="0.2">
      <c r="A32" s="11" t="s">
        <v>160</v>
      </c>
      <c r="B32" s="10" t="s">
        <v>176</v>
      </c>
      <c r="C32" s="11"/>
      <c r="D32" s="10"/>
      <c r="E32" s="141"/>
    </row>
    <row r="33" spans="1:5" x14ac:dyDescent="0.2">
      <c r="A33" s="11" t="s">
        <v>162</v>
      </c>
      <c r="B33" s="10" t="s">
        <v>176</v>
      </c>
      <c r="C33" s="11"/>
      <c r="D33" s="10"/>
      <c r="E33" s="141"/>
    </row>
    <row r="34" spans="1:5" x14ac:dyDescent="0.2">
      <c r="A34" s="11"/>
      <c r="B34" s="9" t="s">
        <v>641</v>
      </c>
      <c r="C34" s="11"/>
      <c r="D34" s="10"/>
      <c r="E34" s="141"/>
    </row>
    <row r="35" spans="1:5" x14ac:dyDescent="0.2">
      <c r="A35" s="11"/>
      <c r="B35" s="10" t="s">
        <v>642</v>
      </c>
      <c r="C35" s="11"/>
      <c r="D35" s="10"/>
      <c r="E35" s="141"/>
    </row>
    <row r="36" spans="1:5" x14ac:dyDescent="0.2">
      <c r="A36" s="11"/>
      <c r="B36" s="21" t="s">
        <v>508</v>
      </c>
      <c r="C36" s="11"/>
      <c r="D36" s="10"/>
      <c r="E36" s="141"/>
    </row>
    <row r="40" spans="1:5" x14ac:dyDescent="0.2">
      <c r="A40" s="1666" t="s">
        <v>643</v>
      </c>
      <c r="B40" s="1666"/>
      <c r="C40" s="1666"/>
      <c r="D40" s="1666"/>
      <c r="E40" s="1666"/>
    </row>
    <row r="41" spans="1:5" x14ac:dyDescent="0.2">
      <c r="A41" s="152"/>
      <c r="B41" s="152"/>
      <c r="C41" s="152"/>
      <c r="D41" s="152"/>
      <c r="E41" s="152"/>
    </row>
    <row r="42" spans="1:5" x14ac:dyDescent="0.2">
      <c r="A42" s="1642" t="s">
        <v>62</v>
      </c>
      <c r="B42" s="1667" t="s">
        <v>63</v>
      </c>
      <c r="C42" s="1668"/>
      <c r="D42" s="6" t="str">
        <f>D8</f>
        <v>Rs.</v>
      </c>
      <c r="E42" s="6" t="str">
        <f>E8</f>
        <v>Rs.</v>
      </c>
    </row>
    <row r="43" spans="1:5" x14ac:dyDescent="0.2">
      <c r="A43" s="1642"/>
      <c r="B43" s="1669"/>
      <c r="C43" s="1670"/>
      <c r="D43" s="41"/>
      <c r="E43" s="6"/>
    </row>
    <row r="44" spans="1:5" x14ac:dyDescent="0.2">
      <c r="A44" s="11"/>
      <c r="B44" s="1664" t="s">
        <v>644</v>
      </c>
      <c r="C44" s="1665"/>
      <c r="D44" s="8"/>
      <c r="E44" s="26"/>
    </row>
    <row r="45" spans="1:5" x14ac:dyDescent="0.2">
      <c r="A45" s="11" t="s">
        <v>645</v>
      </c>
      <c r="B45" s="1664" t="s">
        <v>646</v>
      </c>
      <c r="C45" s="1665"/>
      <c r="D45" s="14"/>
      <c r="E45" s="14"/>
    </row>
    <row r="46" spans="1:5" x14ac:dyDescent="0.2">
      <c r="A46" s="11" t="s">
        <v>647</v>
      </c>
      <c r="B46" s="1664" t="s">
        <v>648</v>
      </c>
      <c r="C46" s="1665"/>
      <c r="D46" s="14"/>
      <c r="E46" s="14"/>
    </row>
    <row r="47" spans="1:5" x14ac:dyDescent="0.2">
      <c r="A47" s="11" t="s">
        <v>649</v>
      </c>
      <c r="B47" s="1671" t="s">
        <v>650</v>
      </c>
      <c r="C47" s="1672"/>
      <c r="D47" s="14"/>
      <c r="E47" s="14"/>
    </row>
    <row r="48" spans="1:5" x14ac:dyDescent="0.2">
      <c r="A48" s="11"/>
      <c r="B48" s="1664" t="s">
        <v>176</v>
      </c>
      <c r="C48" s="1665"/>
      <c r="D48" s="10"/>
      <c r="E48" s="141"/>
    </row>
    <row r="49" spans="1:5" x14ac:dyDescent="0.2">
      <c r="A49" s="11"/>
      <c r="B49" s="1664" t="s">
        <v>176</v>
      </c>
      <c r="C49" s="1665"/>
      <c r="D49" s="10"/>
      <c r="E49" s="141"/>
    </row>
    <row r="52" spans="1:5" x14ac:dyDescent="0.2">
      <c r="A52" s="5" t="s">
        <v>243</v>
      </c>
      <c r="B52" s="3" t="s">
        <v>153</v>
      </c>
    </row>
  </sheetData>
  <mergeCells count="15">
    <mergeCell ref="A2:E2"/>
    <mergeCell ref="B3:D3"/>
    <mergeCell ref="B45:C45"/>
    <mergeCell ref="B46:C46"/>
    <mergeCell ref="B47:C47"/>
    <mergeCell ref="A5:D5"/>
    <mergeCell ref="A7:A8"/>
    <mergeCell ref="B7:B8"/>
    <mergeCell ref="C7:C8"/>
    <mergeCell ref="B48:C48"/>
    <mergeCell ref="B49:C49"/>
    <mergeCell ref="A40:E40"/>
    <mergeCell ref="A42:A43"/>
    <mergeCell ref="B42:C43"/>
    <mergeCell ref="B44:C44"/>
  </mergeCells>
  <phoneticPr fontId="0" type="noConversion"/>
  <printOptions horizontalCentered="1"/>
  <pageMargins left="0.78740157480314965" right="0.39370078740157483" top="0.78740157480314965" bottom="0.19685039370078741" header="0.31496062992125984" footer="0.31496062992125984"/>
  <pageSetup paperSize="9" scale="64" orientation="landscape" r:id="rId1"/>
  <colBreaks count="1" manualBreakCount="1">
    <brk id="3" max="51"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G33"/>
  <sheetViews>
    <sheetView showGridLines="0" view="pageBreakPreview" topLeftCell="A7" zoomScale="90" zoomScaleSheetLayoutView="90" workbookViewId="0">
      <selection activeCell="D28" sqref="D28"/>
    </sheetView>
  </sheetViews>
  <sheetFormatPr defaultColWidth="9.140625" defaultRowHeight="15" x14ac:dyDescent="0.2"/>
  <cols>
    <col min="1" max="1" width="8.140625" style="4" customWidth="1"/>
    <col min="2" max="2" width="37.7109375" style="3" customWidth="1"/>
    <col min="3" max="3" width="11.5703125" style="3" customWidth="1"/>
    <col min="4" max="5" width="26.42578125" style="3" customWidth="1"/>
    <col min="6" max="6" width="15.5703125" style="3" bestFit="1" customWidth="1"/>
    <col min="7" max="7" width="12" style="3" bestFit="1" customWidth="1"/>
    <col min="8" max="16384" width="9.140625" style="3"/>
  </cols>
  <sheetData>
    <row r="2" spans="1:7" x14ac:dyDescent="0.2">
      <c r="A2" s="1643" t="s">
        <v>0</v>
      </c>
      <c r="B2" s="1643"/>
      <c r="C2" s="1643"/>
      <c r="D2" s="1643"/>
      <c r="E2" s="1643"/>
    </row>
    <row r="3" spans="1:7" x14ac:dyDescent="0.2">
      <c r="C3" s="1" t="s">
        <v>1</v>
      </c>
    </row>
    <row r="5" spans="1:7" x14ac:dyDescent="0.2">
      <c r="A5" s="1640" t="s">
        <v>651</v>
      </c>
      <c r="B5" s="1640"/>
      <c r="C5" s="1640"/>
      <c r="D5" s="1640"/>
    </row>
    <row r="6" spans="1:7" x14ac:dyDescent="0.2">
      <c r="A6" s="49"/>
      <c r="B6" s="49"/>
      <c r="C6" s="49"/>
      <c r="D6" s="49"/>
    </row>
    <row r="7" spans="1:7" ht="28.5" x14ac:dyDescent="0.2">
      <c r="A7" s="1642" t="s">
        <v>482</v>
      </c>
      <c r="B7" s="1653" t="s">
        <v>63</v>
      </c>
      <c r="C7" s="1642" t="s">
        <v>222</v>
      </c>
      <c r="D7" s="99" t="s">
        <v>65</v>
      </c>
      <c r="E7" s="99" t="s">
        <v>66</v>
      </c>
    </row>
    <row r="8" spans="1:7" x14ac:dyDescent="0.2">
      <c r="A8" s="1642"/>
      <c r="B8" s="1653"/>
      <c r="C8" s="1642"/>
      <c r="D8" s="41" t="s">
        <v>223</v>
      </c>
      <c r="E8" s="41" t="s">
        <v>223</v>
      </c>
    </row>
    <row r="9" spans="1:7" x14ac:dyDescent="0.2">
      <c r="A9" s="11">
        <v>1</v>
      </c>
      <c r="B9" s="142" t="s">
        <v>652</v>
      </c>
      <c r="C9" s="118"/>
      <c r="D9" s="14"/>
      <c r="E9" s="14"/>
    </row>
    <row r="10" spans="1:7" x14ac:dyDescent="0.2">
      <c r="A10" s="11" t="s">
        <v>160</v>
      </c>
      <c r="B10" s="121" t="s">
        <v>653</v>
      </c>
      <c r="C10" s="132"/>
      <c r="D10" s="14"/>
      <c r="E10" s="14"/>
    </row>
    <row r="11" spans="1:7" x14ac:dyDescent="0.2">
      <c r="A11" s="11" t="s">
        <v>162</v>
      </c>
      <c r="B11" s="142" t="s">
        <v>654</v>
      </c>
      <c r="C11" s="118"/>
      <c r="D11" s="14"/>
      <c r="E11" s="14"/>
    </row>
    <row r="12" spans="1:7" x14ac:dyDescent="0.2">
      <c r="A12" s="11" t="s">
        <v>164</v>
      </c>
      <c r="B12" s="43" t="s">
        <v>655</v>
      </c>
      <c r="C12" s="10"/>
      <c r="D12" s="14"/>
      <c r="E12" s="14"/>
      <c r="F12" s="15"/>
      <c r="G12" s="52"/>
    </row>
    <row r="13" spans="1:7" x14ac:dyDescent="0.2">
      <c r="A13" s="11" t="s">
        <v>166</v>
      </c>
      <c r="B13" s="43" t="s">
        <v>656</v>
      </c>
      <c r="C13" s="10"/>
      <c r="D13" s="14"/>
      <c r="E13" s="14"/>
      <c r="F13" s="15"/>
      <c r="G13" s="52"/>
    </row>
    <row r="14" spans="1:7" x14ac:dyDescent="0.2">
      <c r="A14" s="11" t="s">
        <v>168</v>
      </c>
      <c r="B14" s="43" t="s">
        <v>657</v>
      </c>
      <c r="C14" s="10"/>
      <c r="D14" s="14"/>
      <c r="E14" s="14"/>
      <c r="F14" s="15"/>
      <c r="G14" s="52"/>
    </row>
    <row r="15" spans="1:7" x14ac:dyDescent="0.2">
      <c r="A15" s="11"/>
      <c r="B15" s="43" t="s">
        <v>176</v>
      </c>
      <c r="C15" s="10"/>
      <c r="D15" s="14"/>
      <c r="E15" s="14"/>
      <c r="F15" s="15"/>
      <c r="G15" s="52"/>
    </row>
    <row r="16" spans="1:7" x14ac:dyDescent="0.2">
      <c r="A16" s="11"/>
      <c r="B16" s="43" t="s">
        <v>176</v>
      </c>
      <c r="C16" s="10"/>
      <c r="D16" s="14"/>
      <c r="E16" s="14"/>
      <c r="F16" s="15"/>
      <c r="G16" s="52"/>
    </row>
    <row r="17" spans="1:7" x14ac:dyDescent="0.2">
      <c r="A17" s="11"/>
      <c r="B17" s="21" t="s">
        <v>92</v>
      </c>
      <c r="C17" s="10"/>
      <c r="D17" s="14"/>
      <c r="E17" s="14"/>
      <c r="F17" s="15"/>
      <c r="G17" s="52"/>
    </row>
    <row r="18" spans="1:7" x14ac:dyDescent="0.2">
      <c r="A18" s="11">
        <v>2</v>
      </c>
      <c r="B18" s="44" t="s">
        <v>658</v>
      </c>
      <c r="C18" s="44"/>
      <c r="D18" s="44"/>
      <c r="E18" s="44"/>
    </row>
    <row r="19" spans="1:7" x14ac:dyDescent="0.2">
      <c r="A19" s="11">
        <v>3</v>
      </c>
      <c r="B19" s="43" t="s">
        <v>659</v>
      </c>
      <c r="C19" s="10"/>
      <c r="D19" s="14"/>
      <c r="E19" s="14"/>
    </row>
    <row r="20" spans="1:7" x14ac:dyDescent="0.2">
      <c r="A20" s="43"/>
      <c r="B20" s="43" t="s">
        <v>176</v>
      </c>
      <c r="C20" s="10"/>
      <c r="D20" s="14"/>
      <c r="E20" s="14"/>
    </row>
    <row r="21" spans="1:7" x14ac:dyDescent="0.2">
      <c r="A21" s="43"/>
      <c r="B21" s="43" t="s">
        <v>176</v>
      </c>
      <c r="C21" s="10"/>
      <c r="D21" s="14"/>
      <c r="E21" s="14"/>
    </row>
    <row r="22" spans="1:7" x14ac:dyDescent="0.2">
      <c r="A22" s="43"/>
      <c r="B22" s="21" t="s">
        <v>92</v>
      </c>
      <c r="C22" s="10"/>
      <c r="D22" s="14"/>
      <c r="E22" s="14"/>
    </row>
    <row r="24" spans="1:7" x14ac:dyDescent="0.2">
      <c r="A24" s="1640" t="s">
        <v>660</v>
      </c>
      <c r="B24" s="1640"/>
      <c r="C24" s="1640"/>
      <c r="D24" s="1640"/>
    </row>
    <row r="25" spans="1:7" ht="28.5" x14ac:dyDescent="0.2">
      <c r="A25" s="1642" t="s">
        <v>482</v>
      </c>
      <c r="B25" s="1653" t="s">
        <v>63</v>
      </c>
      <c r="C25" s="1663" t="s">
        <v>404</v>
      </c>
      <c r="D25" s="99" t="s">
        <v>65</v>
      </c>
      <c r="E25" s="99" t="s">
        <v>66</v>
      </c>
    </row>
    <row r="26" spans="1:7" x14ac:dyDescent="0.2">
      <c r="A26" s="1642"/>
      <c r="B26" s="1653"/>
      <c r="C26" s="1663"/>
      <c r="D26" s="41" t="s">
        <v>223</v>
      </c>
      <c r="E26" s="41" t="s">
        <v>223</v>
      </c>
    </row>
    <row r="27" spans="1:7" x14ac:dyDescent="0.2">
      <c r="A27" s="11"/>
      <c r="B27" s="10" t="s">
        <v>661</v>
      </c>
      <c r="C27" s="133"/>
      <c r="D27" s="35">
        <f>+'Balance Sheet and P&amp;L'!D436</f>
        <v>-217.40822170348798</v>
      </c>
      <c r="E27" s="35">
        <f>+'Balance Sheet and P&amp;L'!E436</f>
        <v>-459.26706188896003</v>
      </c>
    </row>
    <row r="28" spans="1:7" x14ac:dyDescent="0.2">
      <c r="A28" s="11"/>
      <c r="B28" s="10" t="s">
        <v>662</v>
      </c>
      <c r="C28" s="133"/>
      <c r="D28" s="35">
        <f>+'Balance Sheet and P&amp;L'!D437</f>
        <v>-4.971450996512</v>
      </c>
      <c r="E28" s="35">
        <f>+'Balance Sheet and P&amp;L'!E437</f>
        <v>-12.963521611040001</v>
      </c>
    </row>
    <row r="29" spans="1:7" x14ac:dyDescent="0.2">
      <c r="A29" s="11"/>
      <c r="B29" s="10" t="s">
        <v>663</v>
      </c>
      <c r="C29" s="133"/>
      <c r="D29" s="35"/>
      <c r="E29" s="35"/>
    </row>
    <row r="30" spans="1:7" x14ac:dyDescent="0.2">
      <c r="A30" s="11"/>
      <c r="B30" s="10"/>
      <c r="C30" s="133"/>
      <c r="D30" s="35"/>
      <c r="E30" s="35"/>
    </row>
    <row r="31" spans="1:7" x14ac:dyDescent="0.2">
      <c r="A31" s="11"/>
      <c r="B31" s="21" t="s">
        <v>92</v>
      </c>
      <c r="C31" s="133"/>
      <c r="D31" s="1595">
        <f>SUM(D27:D30)</f>
        <v>-222.37967269999999</v>
      </c>
      <c r="E31" s="1595">
        <f>SUM(E27:E30)</f>
        <v>-472.23058350000002</v>
      </c>
    </row>
    <row r="33" spans="1:2" x14ac:dyDescent="0.2">
      <c r="A33" s="5" t="s">
        <v>243</v>
      </c>
      <c r="B33" s="3" t="s">
        <v>153</v>
      </c>
    </row>
  </sheetData>
  <mergeCells count="9">
    <mergeCell ref="A2:E2"/>
    <mergeCell ref="A25:A26"/>
    <mergeCell ref="B25:B26"/>
    <mergeCell ref="C25:C26"/>
    <mergeCell ref="A5:D5"/>
    <mergeCell ref="A7:A8"/>
    <mergeCell ref="B7:B8"/>
    <mergeCell ref="C7:C8"/>
    <mergeCell ref="A24:D24"/>
  </mergeCells>
  <phoneticPr fontId="0" type="noConversion"/>
  <printOptions horizontalCentered="1"/>
  <pageMargins left="0.78740157480314965" right="0.39370078740157483" top="0.78740157480314965" bottom="0.19685039370078741"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2:I17"/>
  <sheetViews>
    <sheetView showGridLines="0" view="pageBreakPreview" zoomScale="80" zoomScaleSheetLayoutView="80" workbookViewId="0"/>
  </sheetViews>
  <sheetFormatPr defaultColWidth="9.140625" defaultRowHeight="15" x14ac:dyDescent="0.2"/>
  <cols>
    <col min="1" max="1" width="8.140625" style="4" customWidth="1"/>
    <col min="2" max="2" width="31.140625" style="3" bestFit="1" customWidth="1"/>
    <col min="3" max="3" width="12.140625" style="3" customWidth="1"/>
    <col min="4" max="4" width="16.5703125" style="3" customWidth="1"/>
    <col min="5" max="5" width="15.5703125" style="3" bestFit="1" customWidth="1"/>
    <col min="6" max="6" width="16.5703125" style="3" customWidth="1"/>
    <col min="7" max="7" width="15.7109375" style="3" customWidth="1"/>
    <col min="8" max="8" width="12.28515625" style="3" bestFit="1" customWidth="1"/>
    <col min="9" max="9" width="17" style="3" customWidth="1"/>
    <col min="10" max="16384" width="9.140625" style="3"/>
  </cols>
  <sheetData>
    <row r="2" spans="1:9" x14ac:dyDescent="0.2">
      <c r="A2" s="1643" t="s">
        <v>0</v>
      </c>
      <c r="B2" s="1643"/>
      <c r="C2" s="1643"/>
      <c r="D2" s="1643"/>
      <c r="E2" s="1643"/>
      <c r="F2" s="1643"/>
      <c r="G2" s="1643"/>
      <c r="H2" s="1643"/>
      <c r="I2" s="1643"/>
    </row>
    <row r="3" spans="1:9" x14ac:dyDescent="0.2">
      <c r="D3" s="1" t="s">
        <v>1</v>
      </c>
    </row>
    <row r="5" spans="1:9" x14ac:dyDescent="0.2">
      <c r="A5" s="1640" t="s">
        <v>664</v>
      </c>
      <c r="B5" s="1640"/>
      <c r="C5" s="1640"/>
      <c r="D5" s="1640"/>
      <c r="E5" s="49"/>
      <c r="F5" s="49"/>
    </row>
    <row r="6" spans="1:9" x14ac:dyDescent="0.2">
      <c r="A6" s="49"/>
      <c r="B6" s="49"/>
      <c r="C6" s="49"/>
      <c r="D6" s="49"/>
      <c r="E6" s="49"/>
      <c r="F6" s="49"/>
      <c r="I6" s="5" t="s">
        <v>61</v>
      </c>
    </row>
    <row r="7" spans="1:9" x14ac:dyDescent="0.2">
      <c r="A7" s="1653" t="s">
        <v>482</v>
      </c>
      <c r="B7" s="1653" t="s">
        <v>63</v>
      </c>
      <c r="C7" s="1658" t="s">
        <v>222</v>
      </c>
      <c r="D7" s="1674" t="str">
        <f>'20 &amp; 21'!D28</f>
        <v>Figures as at the end of current reporting period</v>
      </c>
      <c r="E7" s="1674"/>
      <c r="F7" s="1674"/>
      <c r="G7" s="1673" t="str">
        <f>'28 &amp; 29'!E25</f>
        <v>Figures as at the end of previous reporting period</v>
      </c>
      <c r="H7" s="1673"/>
      <c r="I7" s="1673"/>
    </row>
    <row r="8" spans="1:9" ht="28.5" x14ac:dyDescent="0.2">
      <c r="A8" s="1653"/>
      <c r="B8" s="1653"/>
      <c r="C8" s="1659"/>
      <c r="D8" s="6" t="s">
        <v>665</v>
      </c>
      <c r="E8" s="6" t="s">
        <v>666</v>
      </c>
      <c r="F8" s="6" t="s">
        <v>667</v>
      </c>
      <c r="G8" s="6" t="s">
        <v>665</v>
      </c>
      <c r="H8" s="6" t="s">
        <v>666</v>
      </c>
      <c r="I8" s="6" t="s">
        <v>667</v>
      </c>
    </row>
    <row r="9" spans="1:9" x14ac:dyDescent="0.2">
      <c r="A9" s="11">
        <v>1</v>
      </c>
      <c r="B9" s="10" t="s">
        <v>668</v>
      </c>
      <c r="C9" s="118"/>
      <c r="D9" s="14"/>
      <c r="E9" s="14"/>
      <c r="F9" s="14"/>
      <c r="G9" s="14"/>
      <c r="H9" s="14"/>
      <c r="I9" s="14"/>
    </row>
    <row r="10" spans="1:9" x14ac:dyDescent="0.2">
      <c r="A10" s="11">
        <v>2</v>
      </c>
      <c r="B10" s="10" t="s">
        <v>669</v>
      </c>
      <c r="C10" s="19"/>
      <c r="D10" s="14"/>
      <c r="E10" s="14"/>
      <c r="F10" s="14"/>
      <c r="G10" s="14"/>
      <c r="H10" s="14"/>
      <c r="I10" s="14"/>
    </row>
    <row r="11" spans="1:9" x14ac:dyDescent="0.2">
      <c r="A11" s="11">
        <v>3</v>
      </c>
      <c r="B11" s="10" t="s">
        <v>670</v>
      </c>
      <c r="C11" s="118"/>
      <c r="D11" s="14"/>
      <c r="E11" s="14"/>
      <c r="F11" s="14"/>
      <c r="G11" s="14"/>
      <c r="H11" s="14"/>
      <c r="I11" s="14"/>
    </row>
    <row r="12" spans="1:9" x14ac:dyDescent="0.2">
      <c r="A12" s="11">
        <v>4</v>
      </c>
      <c r="B12" s="10" t="s">
        <v>671</v>
      </c>
      <c r="C12" s="19"/>
      <c r="D12" s="14"/>
      <c r="E12" s="14"/>
      <c r="F12" s="14"/>
      <c r="G12" s="14"/>
      <c r="H12" s="14"/>
      <c r="I12" s="14"/>
    </row>
    <row r="13" spans="1:9" x14ac:dyDescent="0.2">
      <c r="A13" s="11">
        <v>5</v>
      </c>
      <c r="B13" s="10" t="s">
        <v>672</v>
      </c>
      <c r="C13" s="118"/>
      <c r="D13" s="14"/>
      <c r="E13" s="14"/>
      <c r="F13" s="14"/>
      <c r="G13" s="14"/>
      <c r="H13" s="14"/>
      <c r="I13" s="14"/>
    </row>
    <row r="14" spans="1:9" x14ac:dyDescent="0.2">
      <c r="A14" s="8"/>
      <c r="B14" s="43" t="s">
        <v>176</v>
      </c>
      <c r="C14" s="8"/>
      <c r="D14" s="17"/>
      <c r="E14" s="17"/>
      <c r="F14" s="17"/>
      <c r="G14" s="17"/>
      <c r="H14" s="17"/>
      <c r="I14" s="17"/>
    </row>
    <row r="15" spans="1:9" x14ac:dyDescent="0.2">
      <c r="A15" s="45"/>
      <c r="B15" s="44" t="s">
        <v>176</v>
      </c>
      <c r="C15" s="44"/>
      <c r="D15" s="44"/>
      <c r="E15" s="44"/>
      <c r="F15" s="44"/>
      <c r="G15" s="44"/>
      <c r="H15" s="44"/>
      <c r="I15" s="44"/>
    </row>
    <row r="17" spans="1:2" x14ac:dyDescent="0.2">
      <c r="A17" s="5" t="s">
        <v>243</v>
      </c>
      <c r="B17" s="3" t="s">
        <v>153</v>
      </c>
    </row>
  </sheetData>
  <mergeCells count="7">
    <mergeCell ref="A2:I2"/>
    <mergeCell ref="G7:I7"/>
    <mergeCell ref="A5:D5"/>
    <mergeCell ref="A7:A8"/>
    <mergeCell ref="B7:B8"/>
    <mergeCell ref="C7:C8"/>
    <mergeCell ref="D7:F7"/>
  </mergeCells>
  <printOptions horizontalCentered="1"/>
  <pageMargins left="0.78740157480314965" right="0.39370078740157483" top="0.78740157480314965" bottom="0.19685039370078741" header="0.31496062992125984" footer="0.31496062992125984"/>
  <pageSetup paperSize="9" scale="94"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26"/>
  <sheetViews>
    <sheetView topLeftCell="A83" workbookViewId="0">
      <selection activeCell="D108" sqref="D108"/>
    </sheetView>
  </sheetViews>
  <sheetFormatPr defaultColWidth="9.140625" defaultRowHeight="15" x14ac:dyDescent="0.25"/>
  <cols>
    <col min="1" max="1" width="6" style="156" customWidth="1"/>
    <col min="2" max="2" width="62.85546875" style="162" customWidth="1"/>
    <col min="3" max="3" width="8.42578125" style="993" customWidth="1"/>
    <col min="4" max="4" width="18.85546875" style="163" customWidth="1"/>
    <col min="5" max="5" width="26.140625" style="299" customWidth="1"/>
    <col min="6" max="6" width="17.7109375" style="163" bestFit="1" customWidth="1"/>
    <col min="7" max="7" width="18.140625" style="163" bestFit="1" customWidth="1"/>
    <col min="8" max="8" width="28.42578125" style="169" customWidth="1"/>
    <col min="9" max="9" width="23.5703125" style="161" customWidth="1"/>
    <col min="10" max="10" width="30.5703125" style="161" customWidth="1"/>
    <col min="11" max="11" width="19.140625" style="162" customWidth="1"/>
    <col min="12" max="12" width="22.85546875" style="162" customWidth="1"/>
    <col min="13" max="13" width="26.42578125" style="162" customWidth="1"/>
    <col min="14" max="15" width="11.28515625" style="162" customWidth="1"/>
    <col min="16" max="16" width="15" style="162" customWidth="1"/>
    <col min="17" max="17" width="9.140625" style="162" customWidth="1"/>
    <col min="18" max="18" width="11.28515625" style="162" customWidth="1"/>
    <col min="19" max="27" width="9.140625" style="162" customWidth="1"/>
    <col min="28" max="28" width="6.140625" style="163" customWidth="1"/>
    <col min="29" max="57" width="9.140625" style="163"/>
    <col min="58" max="58" width="22.28515625" style="162" customWidth="1"/>
    <col min="59" max="59" width="21" style="162" customWidth="1"/>
    <col min="60" max="60" width="12.140625" style="162" customWidth="1"/>
    <col min="61" max="61" width="9.140625" style="162" customWidth="1"/>
    <col min="62" max="62" width="16.140625" style="162" customWidth="1"/>
    <col min="63" max="63" width="21.85546875" style="162" bestFit="1" customWidth="1"/>
    <col min="64" max="64" width="12.7109375" style="162" bestFit="1" customWidth="1"/>
    <col min="65" max="67" width="9.140625" style="162" customWidth="1"/>
    <col min="68" max="16384" width="9.140625" style="162"/>
  </cols>
  <sheetData>
    <row r="1" spans="1:61" ht="18" customHeight="1" x14ac:dyDescent="0.25">
      <c r="B1" s="157" t="s">
        <v>673</v>
      </c>
      <c r="C1" s="158"/>
      <c r="D1" s="158"/>
      <c r="E1" s="159"/>
      <c r="F1" s="722"/>
      <c r="G1" s="160"/>
      <c r="H1" s="723"/>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row>
    <row r="2" spans="1:61" ht="14.25" customHeight="1" x14ac:dyDescent="0.25">
      <c r="A2" s="156" t="s">
        <v>674</v>
      </c>
      <c r="B2" s="164" t="s">
        <v>675</v>
      </c>
      <c r="C2" s="165" t="s">
        <v>676</v>
      </c>
      <c r="D2" s="166"/>
      <c r="E2" s="167" t="s">
        <v>677</v>
      </c>
      <c r="F2" s="724"/>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row>
    <row r="3" spans="1:61" ht="43.5" customHeight="1" x14ac:dyDescent="0.25">
      <c r="B3" s="170"/>
      <c r="C3" s="171" t="s">
        <v>678</v>
      </c>
      <c r="D3" s="172" t="s">
        <v>60</v>
      </c>
      <c r="E3" s="173" t="s">
        <v>246</v>
      </c>
      <c r="F3" s="725" t="s">
        <v>679</v>
      </c>
      <c r="G3" s="174"/>
      <c r="J3" s="175"/>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row>
    <row r="4" spans="1:61" ht="14.1" customHeight="1" x14ac:dyDescent="0.25">
      <c r="B4" s="182" t="s">
        <v>680</v>
      </c>
      <c r="C4" s="726"/>
      <c r="D4" s="727"/>
      <c r="E4" s="728"/>
      <c r="F4" s="729"/>
      <c r="G4" s="730"/>
    </row>
    <row r="5" spans="1:61" ht="14.1" customHeight="1" x14ac:dyDescent="0.25">
      <c r="B5" s="182" t="s">
        <v>681</v>
      </c>
      <c r="C5" s="726"/>
      <c r="D5" s="731"/>
      <c r="E5" s="732"/>
      <c r="F5" s="729"/>
      <c r="G5" s="730"/>
    </row>
    <row r="6" spans="1:61" ht="14.1" customHeight="1" x14ac:dyDescent="0.25">
      <c r="B6" s="177" t="s">
        <v>682</v>
      </c>
      <c r="C6" s="183">
        <v>1</v>
      </c>
      <c r="D6" s="733">
        <f>'[15]Balance sheet groupings'!D26-'[15]Balance sheet groupings'!D42</f>
        <v>31040.513030772992</v>
      </c>
      <c r="E6" s="734">
        <f>'[15]Balance sheet groupings'!F26-'[15]Balance sheet groupings'!F42</f>
        <v>32774.723769055985</v>
      </c>
      <c r="F6" s="735">
        <v>34242.365231518997</v>
      </c>
      <c r="G6" s="736"/>
      <c r="H6" s="737"/>
      <c r="J6" s="161">
        <f t="shared" ref="J6:K56" si="0">+D6-E6</f>
        <v>-1734.2107382829927</v>
      </c>
      <c r="K6" s="162">
        <f t="shared" si="0"/>
        <v>-1467.6414624630124</v>
      </c>
      <c r="M6" s="162">
        <f>+D6-E6</f>
        <v>-1734.2107382829927</v>
      </c>
      <c r="N6" s="162" t="s">
        <v>683</v>
      </c>
      <c r="BG6" s="169"/>
      <c r="BH6" s="169"/>
      <c r="BI6" s="169"/>
    </row>
    <row r="7" spans="1:61" ht="14.1" customHeight="1" x14ac:dyDescent="0.25">
      <c r="B7" s="177" t="s">
        <v>684</v>
      </c>
      <c r="C7" s="183">
        <v>2</v>
      </c>
      <c r="D7" s="733">
        <f>'[15]Balance sheet groupings'!D112</f>
        <v>5793.8387559570001</v>
      </c>
      <c r="E7" s="734">
        <f>'[15]Balance sheet groupings'!F112</f>
        <v>4703.5082975660007</v>
      </c>
      <c r="F7" s="735">
        <v>3676.6948527189993</v>
      </c>
      <c r="G7" s="736"/>
      <c r="H7" s="737"/>
      <c r="J7" s="161">
        <f t="shared" si="0"/>
        <v>1090.3304583909994</v>
      </c>
      <c r="K7" s="162">
        <f t="shared" si="0"/>
        <v>1026.8134448470014</v>
      </c>
      <c r="M7" s="162">
        <f t="shared" ref="M7:M35" si="1">+D7-E7</f>
        <v>1090.3304583909994</v>
      </c>
      <c r="BG7" s="169"/>
      <c r="BH7" s="169"/>
      <c r="BI7" s="169"/>
    </row>
    <row r="8" spans="1:61" ht="14.1" customHeight="1" x14ac:dyDescent="0.25">
      <c r="B8" s="177" t="s">
        <v>685</v>
      </c>
      <c r="C8" s="183" t="s">
        <v>686</v>
      </c>
      <c r="D8" s="733">
        <f>+'[15]Balance sheet groupings'!C48</f>
        <v>3419.2373834</v>
      </c>
      <c r="E8" s="734">
        <f>+'[15]Balance sheet groupings'!E48</f>
        <v>3673.0598977</v>
      </c>
      <c r="F8" s="735">
        <v>3928.6861535999997</v>
      </c>
      <c r="G8" s="736"/>
      <c r="H8" s="737"/>
      <c r="J8" s="161">
        <f t="shared" si="0"/>
        <v>-253.82251429999997</v>
      </c>
      <c r="K8" s="162">
        <f t="shared" si="0"/>
        <v>-255.62625589999971</v>
      </c>
      <c r="M8" s="162">
        <f t="shared" si="1"/>
        <v>-253.82251429999997</v>
      </c>
      <c r="BG8" s="169"/>
      <c r="BH8" s="169"/>
      <c r="BI8" s="169"/>
    </row>
    <row r="9" spans="1:61" ht="14.1" customHeight="1" x14ac:dyDescent="0.25">
      <c r="B9" s="177" t="s">
        <v>687</v>
      </c>
      <c r="C9" s="183" t="s">
        <v>688</v>
      </c>
      <c r="D9" s="733">
        <f>+'[15]Balance sheet groupings'!C53</f>
        <v>4.2940700679999964</v>
      </c>
      <c r="E9" s="734">
        <f>+'[15]Balance sheet groupings'!E53</f>
        <v>3.1431939830000033</v>
      </c>
      <c r="F9" s="735">
        <v>2.629679166999999</v>
      </c>
      <c r="G9" s="736"/>
      <c r="H9" s="737"/>
      <c r="J9" s="161">
        <f t="shared" si="0"/>
        <v>1.1508760849999931</v>
      </c>
      <c r="K9" s="162">
        <f t="shared" si="0"/>
        <v>0.51351481600000426</v>
      </c>
      <c r="M9" s="162">
        <f t="shared" si="1"/>
        <v>1.1508760849999931</v>
      </c>
      <c r="BG9" s="169"/>
      <c r="BH9" s="169"/>
      <c r="BI9" s="169"/>
    </row>
    <row r="10" spans="1:61" ht="14.1" customHeight="1" x14ac:dyDescent="0.25">
      <c r="B10" s="177" t="s">
        <v>689</v>
      </c>
      <c r="C10" s="183">
        <v>2</v>
      </c>
      <c r="D10" s="733">
        <f>'[15]Balance sheet groupings'!D114</f>
        <v>574.16186102100005</v>
      </c>
      <c r="E10" s="734">
        <f>'[15]Balance sheet groupings'!F114</f>
        <v>378.067937207</v>
      </c>
      <c r="F10" s="735">
        <v>239.68228982100001</v>
      </c>
      <c r="G10" s="736"/>
      <c r="H10" s="737"/>
      <c r="J10" s="161">
        <f t="shared" si="0"/>
        <v>196.09392381400005</v>
      </c>
      <c r="K10" s="162">
        <f t="shared" si="0"/>
        <v>138.38564738599999</v>
      </c>
      <c r="M10" s="162">
        <f t="shared" si="1"/>
        <v>196.09392381400005</v>
      </c>
      <c r="BG10" s="169"/>
      <c r="BH10" s="169"/>
      <c r="BI10" s="169"/>
    </row>
    <row r="11" spans="1:61" ht="13.5" customHeight="1" x14ac:dyDescent="0.25">
      <c r="B11" s="177" t="s">
        <v>690</v>
      </c>
      <c r="C11" s="183"/>
      <c r="D11" s="733"/>
      <c r="E11" s="734"/>
      <c r="F11" s="735"/>
      <c r="G11" s="736"/>
      <c r="H11" s="737"/>
      <c r="J11" s="161">
        <f t="shared" si="0"/>
        <v>0</v>
      </c>
      <c r="K11" s="162">
        <f t="shared" si="0"/>
        <v>0</v>
      </c>
      <c r="M11" s="162">
        <f t="shared" si="1"/>
        <v>0</v>
      </c>
      <c r="BG11" s="169"/>
      <c r="BH11" s="169"/>
      <c r="BI11" s="169"/>
    </row>
    <row r="12" spans="1:61" x14ac:dyDescent="0.25">
      <c r="B12" s="177" t="s">
        <v>691</v>
      </c>
      <c r="C12" s="176">
        <f>+A142</f>
        <v>3</v>
      </c>
      <c r="D12" s="733">
        <f>D163</f>
        <v>2.3909302000000068</v>
      </c>
      <c r="E12" s="734">
        <f>E163</f>
        <v>2.2916032999999985</v>
      </c>
      <c r="F12" s="735">
        <f>F163</f>
        <v>2.1079584000000011</v>
      </c>
      <c r="G12" s="736"/>
      <c r="H12" s="737"/>
      <c r="J12" s="161">
        <f t="shared" si="0"/>
        <v>9.9326900000008322E-2</v>
      </c>
      <c r="K12" s="162">
        <f t="shared" si="0"/>
        <v>0.18364489999999734</v>
      </c>
      <c r="M12" s="162">
        <f t="shared" si="1"/>
        <v>9.9326900000008322E-2</v>
      </c>
      <c r="BF12" s="738"/>
      <c r="BG12" s="169"/>
      <c r="BH12" s="169"/>
      <c r="BI12" s="169"/>
    </row>
    <row r="13" spans="1:61" x14ac:dyDescent="0.25">
      <c r="B13" s="177" t="s">
        <v>692</v>
      </c>
      <c r="C13" s="176" t="s">
        <v>693</v>
      </c>
      <c r="D13" s="733">
        <f>D166</f>
        <v>91.206204</v>
      </c>
      <c r="E13" s="734">
        <f t="shared" ref="E13:F13" si="2">E166</f>
        <v>89.062062800000007</v>
      </c>
      <c r="F13" s="735">
        <f t="shared" si="2"/>
        <v>57.492862799999997</v>
      </c>
      <c r="G13" s="736"/>
      <c r="H13" s="737"/>
      <c r="J13" s="161">
        <f t="shared" si="0"/>
        <v>2.1441411999999929</v>
      </c>
      <c r="K13" s="162">
        <f t="shared" si="0"/>
        <v>31.569200000000009</v>
      </c>
      <c r="M13" s="162">
        <f t="shared" si="1"/>
        <v>2.1441411999999929</v>
      </c>
      <c r="BF13" s="738"/>
      <c r="BG13" s="169"/>
      <c r="BH13" s="169"/>
      <c r="BI13" s="169"/>
    </row>
    <row r="14" spans="1:61" hidden="1" x14ac:dyDescent="0.25">
      <c r="B14" s="739" t="s">
        <v>694</v>
      </c>
      <c r="C14" s="176"/>
      <c r="D14" s="733">
        <f>D171</f>
        <v>0</v>
      </c>
      <c r="E14" s="734">
        <f>E171</f>
        <v>0</v>
      </c>
      <c r="F14" s="735">
        <f>F171</f>
        <v>0</v>
      </c>
      <c r="G14" s="736"/>
      <c r="H14" s="737"/>
      <c r="J14" s="161">
        <f t="shared" si="0"/>
        <v>0</v>
      </c>
      <c r="K14" s="162">
        <f t="shared" si="0"/>
        <v>0</v>
      </c>
      <c r="M14" s="162">
        <f t="shared" si="1"/>
        <v>0</v>
      </c>
      <c r="BF14" s="738"/>
      <c r="BG14" s="169"/>
      <c r="BH14" s="169"/>
      <c r="BI14" s="169"/>
    </row>
    <row r="15" spans="1:61" hidden="1" x14ac:dyDescent="0.25">
      <c r="B15" s="177" t="s">
        <v>695</v>
      </c>
      <c r="C15" s="176"/>
      <c r="D15" s="733">
        <f>IF('[15]Input Sheet'!G1049&gt;0,'[15]Input Sheet'!G1049,0)</f>
        <v>0</v>
      </c>
      <c r="E15" s="734"/>
      <c r="F15" s="735"/>
      <c r="G15" s="736"/>
      <c r="H15" s="737"/>
      <c r="J15" s="161">
        <f t="shared" si="0"/>
        <v>0</v>
      </c>
      <c r="K15" s="162">
        <f t="shared" si="0"/>
        <v>0</v>
      </c>
      <c r="M15" s="162">
        <f t="shared" si="1"/>
        <v>0</v>
      </c>
      <c r="BF15" s="738"/>
      <c r="BG15" s="169"/>
      <c r="BH15" s="169"/>
      <c r="BI15" s="169"/>
    </row>
    <row r="16" spans="1:61" ht="14.1" customHeight="1" x14ac:dyDescent="0.25">
      <c r="B16" s="740" t="s">
        <v>696</v>
      </c>
      <c r="C16" s="741">
        <f>+A173</f>
        <v>4</v>
      </c>
      <c r="D16" s="742">
        <f>D191+'[15]Input Sheet'!D1499</f>
        <v>621.92883314599806</v>
      </c>
      <c r="E16" s="743">
        <f>E191</f>
        <v>431.95504896200032</v>
      </c>
      <c r="F16" s="735">
        <f>F191</f>
        <v>496.20144719139972</v>
      </c>
      <c r="G16" s="736"/>
      <c r="H16" s="737"/>
      <c r="J16" s="161">
        <f t="shared" si="0"/>
        <v>189.97378418399774</v>
      </c>
      <c r="K16" s="162">
        <f t="shared" si="0"/>
        <v>-64.246398229399404</v>
      </c>
      <c r="M16" s="162">
        <f t="shared" si="1"/>
        <v>189.97378418399774</v>
      </c>
      <c r="N16" s="162" t="s">
        <v>697</v>
      </c>
      <c r="BF16" s="738"/>
      <c r="BG16" s="169"/>
      <c r="BH16" s="169"/>
      <c r="BI16" s="169"/>
    </row>
    <row r="17" spans="1:61" s="747" customFormat="1" ht="14.1" customHeight="1" x14ac:dyDescent="0.25">
      <c r="A17" s="156"/>
      <c r="B17" s="188" t="s">
        <v>698</v>
      </c>
      <c r="C17" s="189"/>
      <c r="D17" s="744">
        <f>SUM(D6:D16)</f>
        <v>41547.571068564997</v>
      </c>
      <c r="E17" s="745">
        <f>SUM(E6:E16)</f>
        <v>42055.811810573992</v>
      </c>
      <c r="F17" s="746">
        <f>F6+SUM(F7:F16)</f>
        <v>42645.8604752174</v>
      </c>
      <c r="G17" s="736"/>
      <c r="H17" s="737"/>
      <c r="I17" s="178"/>
      <c r="J17" s="161"/>
      <c r="K17" s="162"/>
      <c r="M17" s="162">
        <f t="shared" si="1"/>
        <v>-508.24074200899486</v>
      </c>
      <c r="AB17" s="163"/>
      <c r="BF17" s="738"/>
      <c r="BG17" s="179"/>
      <c r="BH17" s="179"/>
      <c r="BI17" s="179"/>
    </row>
    <row r="18" spans="1:61" ht="14.1" customHeight="1" x14ac:dyDescent="0.25">
      <c r="B18" s="182" t="s">
        <v>179</v>
      </c>
      <c r="C18" s="726"/>
      <c r="D18" s="748"/>
      <c r="E18" s="749"/>
      <c r="F18" s="750"/>
      <c r="G18" s="736"/>
      <c r="H18" s="737"/>
      <c r="J18" s="161">
        <f t="shared" si="0"/>
        <v>0</v>
      </c>
      <c r="K18" s="162">
        <f t="shared" si="0"/>
        <v>0</v>
      </c>
      <c r="M18" s="162">
        <f t="shared" si="1"/>
        <v>0</v>
      </c>
      <c r="BG18" s="169"/>
      <c r="BH18" s="169"/>
      <c r="BI18" s="169"/>
    </row>
    <row r="19" spans="1:61" ht="14.1" customHeight="1" x14ac:dyDescent="0.25">
      <c r="B19" s="177" t="s">
        <v>699</v>
      </c>
      <c r="C19" s="176">
        <f>+A193</f>
        <v>5</v>
      </c>
      <c r="D19" s="733">
        <f>D201</f>
        <v>2114.7825896700001</v>
      </c>
      <c r="E19" s="734">
        <f>E201</f>
        <v>1255.7611796319995</v>
      </c>
      <c r="F19" s="735">
        <f>F201</f>
        <v>930.08538877799992</v>
      </c>
      <c r="G19" s="736"/>
      <c r="H19" s="737"/>
      <c r="J19" s="161">
        <f t="shared" si="0"/>
        <v>859.02141003800057</v>
      </c>
      <c r="K19" s="162">
        <f t="shared" si="0"/>
        <v>325.67579085399962</v>
      </c>
      <c r="M19" s="162">
        <f t="shared" si="1"/>
        <v>859.02141003800057</v>
      </c>
      <c r="N19" s="162" t="s">
        <v>700</v>
      </c>
      <c r="BF19" s="738"/>
      <c r="BG19" s="169"/>
      <c r="BH19" s="169"/>
      <c r="BI19" s="169"/>
    </row>
    <row r="20" spans="1:61" ht="14.1" customHeight="1" x14ac:dyDescent="0.25">
      <c r="B20" s="177" t="s">
        <v>690</v>
      </c>
      <c r="C20" s="726"/>
      <c r="D20" s="733"/>
      <c r="E20" s="734"/>
      <c r="F20" s="735"/>
      <c r="G20" s="736"/>
      <c r="H20" s="737"/>
      <c r="J20" s="161">
        <f t="shared" si="0"/>
        <v>0</v>
      </c>
      <c r="K20" s="162">
        <f t="shared" si="0"/>
        <v>0</v>
      </c>
      <c r="M20" s="162">
        <f t="shared" si="1"/>
        <v>0</v>
      </c>
      <c r="BF20" s="738"/>
      <c r="BG20" s="169"/>
      <c r="BH20" s="169"/>
      <c r="BI20" s="169"/>
    </row>
    <row r="21" spans="1:61" ht="14.1" customHeight="1" x14ac:dyDescent="0.25">
      <c r="B21" s="739" t="s">
        <v>701</v>
      </c>
      <c r="C21" s="176">
        <f>+A203</f>
        <v>6</v>
      </c>
      <c r="D21" s="733">
        <f>D208</f>
        <v>31567.394643867003</v>
      </c>
      <c r="E21" s="734">
        <f>E208</f>
        <v>28457.271091587001</v>
      </c>
      <c r="F21" s="735">
        <f>F208</f>
        <v>27224.725011519004</v>
      </c>
      <c r="G21" s="736"/>
      <c r="H21" s="737"/>
      <c r="J21" s="161">
        <f t="shared" si="0"/>
        <v>3110.1235522800016</v>
      </c>
      <c r="K21" s="162">
        <f t="shared" si="0"/>
        <v>1232.5460800679975</v>
      </c>
      <c r="M21" s="162">
        <f t="shared" si="1"/>
        <v>3110.1235522800016</v>
      </c>
      <c r="N21" s="162" t="s">
        <v>702</v>
      </c>
      <c r="BF21" s="738"/>
      <c r="BG21" s="169"/>
      <c r="BH21" s="169"/>
      <c r="BI21" s="169"/>
    </row>
    <row r="22" spans="1:61" ht="14.1" customHeight="1" x14ac:dyDescent="0.25">
      <c r="B22" s="177" t="s">
        <v>703</v>
      </c>
      <c r="C22" s="176">
        <f>+A211</f>
        <v>7</v>
      </c>
      <c r="D22" s="733">
        <f>D216</f>
        <v>263.67808044699996</v>
      </c>
      <c r="E22" s="734">
        <f>E216</f>
        <v>11.787264494000002</v>
      </c>
      <c r="F22" s="751">
        <f>F216</f>
        <v>2.1092594999999999E-2</v>
      </c>
      <c r="G22" s="736"/>
      <c r="H22" s="737"/>
      <c r="J22" s="161">
        <f t="shared" si="0"/>
        <v>251.89081595299996</v>
      </c>
      <c r="K22" s="162">
        <f t="shared" si="0"/>
        <v>11.766171899000001</v>
      </c>
      <c r="M22" s="162">
        <f t="shared" si="1"/>
        <v>251.89081595299996</v>
      </c>
      <c r="BF22" s="738"/>
      <c r="BG22" s="169"/>
      <c r="BH22" s="169"/>
      <c r="BI22" s="169"/>
    </row>
    <row r="23" spans="1:61" ht="14.1" customHeight="1" x14ac:dyDescent="0.25">
      <c r="B23" s="177" t="s">
        <v>704</v>
      </c>
      <c r="C23" s="176">
        <f>+A218</f>
        <v>8</v>
      </c>
      <c r="D23" s="733">
        <f>D223</f>
        <v>1.781401367</v>
      </c>
      <c r="E23" s="734">
        <f>E223</f>
        <v>5.3623333400000002</v>
      </c>
      <c r="F23" s="735">
        <f>F223</f>
        <v>5.7716684136000005</v>
      </c>
      <c r="G23" s="736"/>
      <c r="H23" s="737"/>
      <c r="J23" s="161">
        <f t="shared" si="0"/>
        <v>-3.5809319730000002</v>
      </c>
      <c r="K23" s="162">
        <f t="shared" si="0"/>
        <v>-0.40933507360000032</v>
      </c>
      <c r="M23" s="162">
        <f t="shared" si="1"/>
        <v>-3.5809319730000002</v>
      </c>
      <c r="N23" s="162" t="s">
        <v>705</v>
      </c>
      <c r="BF23" s="738"/>
      <c r="BG23" s="169"/>
      <c r="BH23" s="169"/>
      <c r="BI23" s="169"/>
    </row>
    <row r="24" spans="1:61" ht="14.1" customHeight="1" x14ac:dyDescent="0.25">
      <c r="B24" s="177" t="s">
        <v>706</v>
      </c>
      <c r="C24" s="176">
        <f>+A225</f>
        <v>9</v>
      </c>
      <c r="D24" s="733">
        <f>D234</f>
        <v>326.40493493700001</v>
      </c>
      <c r="E24" s="734">
        <f>E234</f>
        <v>325.33570108999999</v>
      </c>
      <c r="F24" s="735">
        <f>F234</f>
        <v>352.25314013399998</v>
      </c>
      <c r="G24" s="736"/>
      <c r="H24" s="737"/>
      <c r="J24" s="161">
        <f t="shared" si="0"/>
        <v>1.0692338470000209</v>
      </c>
      <c r="K24" s="162">
        <f t="shared" si="0"/>
        <v>-26.917439043999991</v>
      </c>
      <c r="M24" s="162">
        <f t="shared" si="1"/>
        <v>1.0692338470000209</v>
      </c>
      <c r="N24" s="162" t="s">
        <v>702</v>
      </c>
      <c r="BF24" s="738"/>
      <c r="BG24" s="169"/>
      <c r="BH24" s="169"/>
      <c r="BI24" s="169"/>
    </row>
    <row r="25" spans="1:61" ht="14.1" customHeight="1" x14ac:dyDescent="0.25">
      <c r="B25" s="177" t="s">
        <v>707</v>
      </c>
      <c r="C25" s="176">
        <f>+A236</f>
        <v>10</v>
      </c>
      <c r="D25" s="733">
        <f>D241</f>
        <v>905.532191356</v>
      </c>
      <c r="E25" s="734">
        <f>E241</f>
        <v>895.69076327599987</v>
      </c>
      <c r="F25" s="735">
        <f>F241</f>
        <v>648.49387641500016</v>
      </c>
      <c r="G25" s="736"/>
      <c r="H25" s="737"/>
      <c r="J25" s="161">
        <f t="shared" si="0"/>
        <v>9.8414280800001279</v>
      </c>
      <c r="K25" s="162">
        <f t="shared" si="0"/>
        <v>247.19688686099971</v>
      </c>
      <c r="M25" s="162">
        <f t="shared" si="1"/>
        <v>9.8414280800001279</v>
      </c>
      <c r="N25" s="162" t="s">
        <v>708</v>
      </c>
      <c r="BF25" s="738"/>
      <c r="BG25" s="169"/>
      <c r="BH25" s="169"/>
      <c r="BI25" s="169"/>
    </row>
    <row r="26" spans="1:61" ht="14.1" customHeight="1" x14ac:dyDescent="0.25">
      <c r="B26" s="184" t="s">
        <v>709</v>
      </c>
      <c r="C26" s="185"/>
      <c r="D26" s="744">
        <f>SUM(D19:D25)</f>
        <v>35179.573841644007</v>
      </c>
      <c r="E26" s="745">
        <f t="shared" ref="E26:F26" si="3">SUM(E19:E25)</f>
        <v>30951.208333418999</v>
      </c>
      <c r="F26" s="746">
        <f t="shared" si="3"/>
        <v>29161.350177854601</v>
      </c>
      <c r="G26" s="736"/>
      <c r="H26" s="737"/>
      <c r="BF26" s="738"/>
      <c r="BG26" s="169"/>
      <c r="BH26" s="169"/>
      <c r="BI26" s="169"/>
    </row>
    <row r="27" spans="1:61" ht="14.1" customHeight="1" x14ac:dyDescent="0.25">
      <c r="B27" s="182" t="s">
        <v>550</v>
      </c>
      <c r="C27" s="176"/>
      <c r="D27" s="752"/>
      <c r="E27" s="753"/>
      <c r="F27" s="735"/>
      <c r="G27" s="736"/>
      <c r="H27" s="737"/>
      <c r="J27" s="161">
        <f t="shared" si="0"/>
        <v>0</v>
      </c>
      <c r="BF27" s="738"/>
      <c r="BG27" s="169"/>
      <c r="BH27" s="169"/>
      <c r="BI27" s="169"/>
    </row>
    <row r="28" spans="1:61" ht="14.1" customHeight="1" x14ac:dyDescent="0.25">
      <c r="B28" s="740" t="s">
        <v>551</v>
      </c>
      <c r="C28" s="754" t="s">
        <v>710</v>
      </c>
      <c r="D28" s="733">
        <f>'[15]Balance sheet groupings'!D90</f>
        <v>119.54817991200002</v>
      </c>
      <c r="E28" s="734">
        <f>'[15]Balance sheet groupings'!F90</f>
        <v>121.03762497100001</v>
      </c>
      <c r="F28" s="735">
        <v>222.60671538399993</v>
      </c>
      <c r="G28" s="736"/>
      <c r="H28" s="737"/>
      <c r="J28" s="161">
        <f t="shared" si="0"/>
        <v>-1.4894450589999906</v>
      </c>
      <c r="K28" s="162">
        <f t="shared" si="0"/>
        <v>-101.56909041299991</v>
      </c>
      <c r="M28" s="162">
        <f t="shared" si="1"/>
        <v>-1.4894450589999906</v>
      </c>
      <c r="N28" s="162" t="s">
        <v>711</v>
      </c>
      <c r="BF28" s="738"/>
      <c r="BG28" s="169"/>
      <c r="BH28" s="169"/>
      <c r="BI28" s="169"/>
    </row>
    <row r="29" spans="1:61" s="747" customFormat="1" ht="14.1" customHeight="1" x14ac:dyDescent="0.25">
      <c r="A29" s="156"/>
      <c r="B29" s="184" t="s">
        <v>712</v>
      </c>
      <c r="C29" s="755"/>
      <c r="D29" s="744">
        <f>D28</f>
        <v>119.54817991200002</v>
      </c>
      <c r="E29" s="745">
        <f t="shared" ref="E29:F29" si="4">E28</f>
        <v>121.03762497100001</v>
      </c>
      <c r="F29" s="746">
        <f t="shared" si="4"/>
        <v>222.60671538399993</v>
      </c>
      <c r="G29" s="736"/>
      <c r="H29" s="737"/>
      <c r="I29" s="178"/>
      <c r="J29" s="161"/>
      <c r="K29" s="162"/>
      <c r="M29" s="162">
        <f t="shared" si="1"/>
        <v>-1.4894450589999906</v>
      </c>
      <c r="AB29" s="163"/>
      <c r="BF29" s="738"/>
      <c r="BG29" s="756"/>
      <c r="BH29" s="756"/>
      <c r="BI29" s="756"/>
    </row>
    <row r="30" spans="1:61" s="747" customFormat="1" ht="14.1" customHeight="1" thickBot="1" x14ac:dyDescent="0.3">
      <c r="A30" s="156"/>
      <c r="B30" s="757" t="s">
        <v>713</v>
      </c>
      <c r="C30" s="758"/>
      <c r="D30" s="759">
        <f>D29+D17+D26</f>
        <v>76846.693090121</v>
      </c>
      <c r="E30" s="760">
        <f t="shared" ref="E30:F30" si="5">E29+E17+E26</f>
        <v>73128.05776896399</v>
      </c>
      <c r="F30" s="746">
        <f t="shared" si="5"/>
        <v>72029.817368456002</v>
      </c>
      <c r="G30" s="736"/>
      <c r="H30" s="737"/>
      <c r="I30" s="178"/>
      <c r="J30" s="161"/>
      <c r="K30" s="162"/>
      <c r="M30" s="162">
        <f t="shared" si="1"/>
        <v>3718.6353211570095</v>
      </c>
      <c r="AB30" s="163"/>
      <c r="BF30" s="738"/>
      <c r="BG30" s="756"/>
      <c r="BH30" s="756"/>
      <c r="BI30" s="756"/>
    </row>
    <row r="31" spans="1:61" ht="14.1" customHeight="1" thickTop="1" x14ac:dyDescent="0.25">
      <c r="B31" s="182"/>
      <c r="C31" s="183"/>
      <c r="D31" s="761"/>
      <c r="E31" s="762"/>
      <c r="F31" s="763"/>
      <c r="G31" s="736"/>
      <c r="H31" s="737"/>
      <c r="K31" s="162">
        <f t="shared" si="0"/>
        <v>0</v>
      </c>
      <c r="M31" s="162">
        <f t="shared" si="1"/>
        <v>0</v>
      </c>
      <c r="BG31" s="169"/>
      <c r="BH31" s="169"/>
      <c r="BI31" s="169"/>
    </row>
    <row r="32" spans="1:61" ht="14.1" customHeight="1" x14ac:dyDescent="0.25">
      <c r="B32" s="180" t="s">
        <v>714</v>
      </c>
      <c r="C32" s="183"/>
      <c r="D32" s="748"/>
      <c r="E32" s="749"/>
      <c r="F32" s="750"/>
      <c r="G32" s="736"/>
      <c r="H32" s="737"/>
      <c r="K32" s="162">
        <f t="shared" si="0"/>
        <v>0</v>
      </c>
      <c r="M32" s="162">
        <f t="shared" si="1"/>
        <v>0</v>
      </c>
      <c r="BG32" s="169"/>
      <c r="BH32" s="169"/>
      <c r="BI32" s="169"/>
    </row>
    <row r="33" spans="1:63" ht="14.1" customHeight="1" x14ac:dyDescent="0.25">
      <c r="B33" s="182" t="s">
        <v>715</v>
      </c>
      <c r="C33" s="183"/>
      <c r="D33" s="764"/>
      <c r="E33" s="749"/>
      <c r="F33" s="750"/>
      <c r="G33" s="736"/>
      <c r="H33" s="737"/>
      <c r="K33" s="162">
        <f t="shared" si="0"/>
        <v>0</v>
      </c>
      <c r="M33" s="162">
        <f t="shared" si="1"/>
        <v>0</v>
      </c>
      <c r="BG33" s="169"/>
      <c r="BH33" s="169"/>
      <c r="BI33" s="169"/>
    </row>
    <row r="34" spans="1:63" ht="14.1" customHeight="1" x14ac:dyDescent="0.25">
      <c r="B34" s="177" t="s">
        <v>716</v>
      </c>
      <c r="C34" s="176">
        <v>11</v>
      </c>
      <c r="D34" s="733">
        <f>'[15]Share Capital'!D22</f>
        <v>25918.496225999996</v>
      </c>
      <c r="E34" s="734">
        <f>'[15]Balance sheet groupings'!F387</f>
        <v>25450.446225999996</v>
      </c>
      <c r="F34" s="735">
        <v>25407.94622097399</v>
      </c>
      <c r="G34" s="736"/>
      <c r="H34" s="737"/>
      <c r="J34" s="161">
        <f t="shared" si="0"/>
        <v>468.04999999999927</v>
      </c>
      <c r="K34" s="162">
        <f t="shared" si="0"/>
        <v>42.500005026005965</v>
      </c>
      <c r="M34" s="162">
        <f t="shared" si="1"/>
        <v>468.04999999999927</v>
      </c>
      <c r="N34" s="162" t="s">
        <v>717</v>
      </c>
      <c r="BF34" s="738"/>
      <c r="BG34" s="169"/>
      <c r="BH34" s="169"/>
      <c r="BI34" s="169"/>
    </row>
    <row r="35" spans="1:63" x14ac:dyDescent="0.25">
      <c r="B35" s="177" t="s">
        <v>718</v>
      </c>
      <c r="C35" s="176">
        <f>+A243</f>
        <v>12</v>
      </c>
      <c r="D35" s="733">
        <f>D255</f>
        <v>-8942.7472974869852</v>
      </c>
      <c r="E35" s="734">
        <f>+E255</f>
        <v>-7755.0177741439893</v>
      </c>
      <c r="F35" s="735">
        <v>-6497.6836046944718</v>
      </c>
      <c r="G35" s="736"/>
      <c r="H35" s="765"/>
      <c r="J35" s="161">
        <f t="shared" si="0"/>
        <v>-1187.7295233429959</v>
      </c>
      <c r="K35" s="162">
        <f t="shared" si="0"/>
        <v>-1257.3341694495175</v>
      </c>
      <c r="M35" s="162">
        <f t="shared" si="1"/>
        <v>-1187.7295233429959</v>
      </c>
      <c r="N35" s="162" t="s">
        <v>719</v>
      </c>
      <c r="BF35" s="738"/>
      <c r="BG35" s="169"/>
      <c r="BH35" s="169"/>
      <c r="BI35" s="169"/>
    </row>
    <row r="36" spans="1:63" hidden="1" x14ac:dyDescent="0.25">
      <c r="B36" s="177" t="s">
        <v>720</v>
      </c>
      <c r="C36" s="176"/>
      <c r="D36" s="733"/>
      <c r="E36" s="753"/>
      <c r="F36" s="735"/>
      <c r="G36" s="736"/>
      <c r="H36" s="737"/>
      <c r="BF36" s="738"/>
      <c r="BG36" s="169"/>
      <c r="BH36" s="169"/>
      <c r="BI36" s="169"/>
    </row>
    <row r="37" spans="1:63" hidden="1" x14ac:dyDescent="0.25">
      <c r="B37" s="177" t="s">
        <v>721</v>
      </c>
      <c r="C37" s="176"/>
      <c r="D37" s="733"/>
      <c r="E37" s="753"/>
      <c r="F37" s="735"/>
      <c r="G37" s="736"/>
      <c r="H37" s="737"/>
      <c r="BF37" s="738"/>
      <c r="BG37" s="169"/>
      <c r="BH37" s="169"/>
      <c r="BI37" s="169"/>
    </row>
    <row r="38" spans="1:63" s="747" customFormat="1" ht="14.1" customHeight="1" x14ac:dyDescent="0.25">
      <c r="A38" s="156"/>
      <c r="B38" s="181" t="s">
        <v>722</v>
      </c>
      <c r="C38" s="530"/>
      <c r="D38" s="744">
        <f>SUM(D34:D35)</f>
        <v>16975.74892851301</v>
      </c>
      <c r="E38" s="745">
        <f t="shared" ref="E38:F38" si="6">SUM(E34:E35)</f>
        <v>17695.428451856009</v>
      </c>
      <c r="F38" s="746">
        <f t="shared" si="6"/>
        <v>18910.26261627952</v>
      </c>
      <c r="G38" s="736"/>
      <c r="H38" s="737"/>
      <c r="J38" s="161"/>
      <c r="K38" s="162"/>
      <c r="M38" s="162">
        <f t="shared" ref="M38:M58" si="7">+D38-E38</f>
        <v>-719.67952334299844</v>
      </c>
      <c r="AB38" s="163"/>
      <c r="BF38" s="738"/>
      <c r="BG38" s="766"/>
      <c r="BH38" s="766"/>
      <c r="BI38" s="766"/>
    </row>
    <row r="39" spans="1:63" ht="14.1" customHeight="1" x14ac:dyDescent="0.25">
      <c r="B39" s="182" t="s">
        <v>723</v>
      </c>
      <c r="C39" s="183"/>
      <c r="D39" s="733"/>
      <c r="E39" s="753"/>
      <c r="F39" s="735"/>
      <c r="G39" s="736"/>
      <c r="H39" s="737"/>
      <c r="K39" s="162">
        <f t="shared" ref="K39:K56" si="8">+E39-F39</f>
        <v>0</v>
      </c>
      <c r="L39" s="162">
        <f>6679.59+E35</f>
        <v>-1075.4277741439892</v>
      </c>
      <c r="M39" s="162">
        <f t="shared" si="7"/>
        <v>0</v>
      </c>
      <c r="BG39" s="169"/>
      <c r="BH39" s="169"/>
      <c r="BI39" s="169"/>
    </row>
    <row r="40" spans="1:63" ht="14.1" customHeight="1" x14ac:dyDescent="0.25">
      <c r="B40" s="182" t="s">
        <v>724</v>
      </c>
      <c r="C40" s="183"/>
      <c r="D40" s="733"/>
      <c r="E40" s="753"/>
      <c r="F40" s="735"/>
      <c r="G40" s="736"/>
      <c r="H40" s="737"/>
      <c r="K40" s="162">
        <f t="shared" si="8"/>
        <v>0</v>
      </c>
      <c r="M40" s="162">
        <f t="shared" si="7"/>
        <v>0</v>
      </c>
      <c r="BG40" s="169"/>
      <c r="BH40" s="169"/>
      <c r="BI40" s="169"/>
    </row>
    <row r="41" spans="1:63" ht="14.1" customHeight="1" x14ac:dyDescent="0.25">
      <c r="B41" s="177" t="s">
        <v>725</v>
      </c>
      <c r="C41" s="183"/>
      <c r="D41" s="733"/>
      <c r="E41" s="753"/>
      <c r="F41" s="735"/>
      <c r="G41" s="736"/>
      <c r="H41" s="737"/>
      <c r="K41" s="162">
        <f t="shared" si="8"/>
        <v>0</v>
      </c>
      <c r="M41" s="162">
        <f t="shared" si="7"/>
        <v>0</v>
      </c>
      <c r="BG41" s="169"/>
      <c r="BH41" s="169"/>
      <c r="BI41" s="169"/>
      <c r="BK41" s="274"/>
    </row>
    <row r="42" spans="1:63" ht="14.1" customHeight="1" x14ac:dyDescent="0.25">
      <c r="B42" s="177" t="s">
        <v>726</v>
      </c>
      <c r="C42" s="176">
        <f>+A257</f>
        <v>13</v>
      </c>
      <c r="D42" s="733">
        <f>D269</f>
        <v>24687.339384897426</v>
      </c>
      <c r="E42" s="734">
        <f>E269</f>
        <v>22211.191210778834</v>
      </c>
      <c r="F42" s="735">
        <f>F269</f>
        <v>22452.201700300011</v>
      </c>
      <c r="G42" s="736"/>
      <c r="H42" s="737"/>
      <c r="J42" s="161">
        <f t="shared" si="0"/>
        <v>2476.1481741185926</v>
      </c>
      <c r="K42" s="162">
        <f t="shared" si="8"/>
        <v>-241.01048952117708</v>
      </c>
      <c r="M42" s="162">
        <f t="shared" si="7"/>
        <v>2476.1481741185926</v>
      </c>
      <c r="N42" s="162" t="s">
        <v>727</v>
      </c>
      <c r="BF42" s="738"/>
      <c r="BG42" s="169"/>
      <c r="BH42" s="169"/>
      <c r="BI42" s="169"/>
      <c r="BK42" s="274"/>
    </row>
    <row r="43" spans="1:63" ht="14.1" customHeight="1" x14ac:dyDescent="0.25">
      <c r="B43" s="177" t="s">
        <v>728</v>
      </c>
      <c r="C43" s="176" t="str">
        <f>+A272</f>
        <v>13A</v>
      </c>
      <c r="D43" s="733">
        <f>D274</f>
        <v>2926.5594399255865</v>
      </c>
      <c r="E43" s="734">
        <f t="shared" ref="E43:F43" si="9">E274</f>
        <v>3069.8995987232825</v>
      </c>
      <c r="F43" s="735">
        <f t="shared" si="9"/>
        <v>3231.2761741890199</v>
      </c>
      <c r="G43" s="736"/>
      <c r="H43" s="737"/>
      <c r="J43" s="161">
        <f t="shared" si="0"/>
        <v>-143.34015879769595</v>
      </c>
      <c r="K43" s="162">
        <f t="shared" si="8"/>
        <v>-161.37657546573746</v>
      </c>
      <c r="BF43" s="738"/>
      <c r="BG43" s="169"/>
      <c r="BH43" s="169"/>
      <c r="BI43" s="169"/>
      <c r="BK43" s="274"/>
    </row>
    <row r="44" spans="1:63" ht="14.1" customHeight="1" x14ac:dyDescent="0.25">
      <c r="B44" s="177" t="s">
        <v>729</v>
      </c>
      <c r="C44" s="176">
        <f>+A276</f>
        <v>14</v>
      </c>
      <c r="D44" s="733">
        <f>D279</f>
        <v>1153.4486072999998</v>
      </c>
      <c r="E44" s="734">
        <f>+E279</f>
        <v>1111.5373132</v>
      </c>
      <c r="F44" s="735">
        <f>+F279</f>
        <v>1062.6597079999999</v>
      </c>
      <c r="G44" s="736"/>
      <c r="H44" s="737"/>
      <c r="J44" s="161">
        <f t="shared" si="0"/>
        <v>41.91129409999985</v>
      </c>
      <c r="K44" s="162">
        <f t="shared" si="8"/>
        <v>48.877605200000062</v>
      </c>
      <c r="M44" s="162">
        <f t="shared" si="7"/>
        <v>41.91129409999985</v>
      </c>
      <c r="BF44" s="738"/>
      <c r="BG44" s="169"/>
      <c r="BH44" s="169"/>
      <c r="BI44" s="169"/>
      <c r="BK44" s="274"/>
    </row>
    <row r="45" spans="1:63" ht="14.1" customHeight="1" x14ac:dyDescent="0.25">
      <c r="B45" s="177" t="s">
        <v>730</v>
      </c>
      <c r="C45" s="183">
        <v>15</v>
      </c>
      <c r="D45" s="733">
        <f>IF('[15]Input Sheet'!G1049&lt;0,-'[15]Input Sheet'!G1049,0)</f>
        <v>334.28806329999998</v>
      </c>
      <c r="E45" s="734">
        <v>556.66773599999999</v>
      </c>
      <c r="F45" s="735">
        <v>1028.8983194999998</v>
      </c>
      <c r="G45" s="736"/>
      <c r="H45" s="737"/>
      <c r="J45" s="161">
        <f t="shared" si="0"/>
        <v>-222.37967270000001</v>
      </c>
      <c r="K45" s="162">
        <f t="shared" si="8"/>
        <v>-472.23058349999985</v>
      </c>
      <c r="M45" s="162">
        <f t="shared" si="7"/>
        <v>-222.37967270000001</v>
      </c>
      <c r="N45" s="162" t="s">
        <v>731</v>
      </c>
      <c r="BF45" s="738"/>
      <c r="BG45" s="169"/>
      <c r="BH45" s="169"/>
      <c r="BI45" s="169"/>
      <c r="BK45" s="274"/>
    </row>
    <row r="46" spans="1:63" ht="14.1" customHeight="1" x14ac:dyDescent="0.25">
      <c r="B46" s="177" t="s">
        <v>732</v>
      </c>
      <c r="C46" s="176">
        <f>+A281</f>
        <v>16</v>
      </c>
      <c r="D46" s="733">
        <f>D285+SUM('[15]Input Sheet'!Q541:Q586)</f>
        <v>654.67374213900007</v>
      </c>
      <c r="E46" s="734">
        <f>+E285</f>
        <v>289.46240933900003</v>
      </c>
      <c r="F46" s="735">
        <f>+F285</f>
        <v>0</v>
      </c>
      <c r="G46" s="736"/>
      <c r="H46" s="737"/>
      <c r="J46" s="161">
        <f t="shared" si="0"/>
        <v>365.21133280000004</v>
      </c>
      <c r="K46" s="162">
        <f t="shared" si="8"/>
        <v>289.46240933900003</v>
      </c>
      <c r="M46" s="162">
        <f t="shared" si="7"/>
        <v>365.21133280000004</v>
      </c>
      <c r="BF46" s="738"/>
      <c r="BG46" s="169"/>
      <c r="BH46" s="169"/>
      <c r="BI46" s="169"/>
      <c r="BK46" s="274"/>
    </row>
    <row r="47" spans="1:63" s="747" customFormat="1" ht="14.1" customHeight="1" x14ac:dyDescent="0.25">
      <c r="A47" s="156"/>
      <c r="B47" s="184" t="s">
        <v>733</v>
      </c>
      <c r="C47" s="185"/>
      <c r="D47" s="744">
        <f>SUM(D42:D46)</f>
        <v>29756.309237562011</v>
      </c>
      <c r="E47" s="745">
        <f>SUM(E42:E46)</f>
        <v>27238.758268041114</v>
      </c>
      <c r="F47" s="746">
        <f>SUM(F42:F46)</f>
        <v>27775.035901989031</v>
      </c>
      <c r="G47" s="736"/>
      <c r="H47" s="737"/>
      <c r="I47" s="178"/>
      <c r="J47" s="161"/>
      <c r="K47" s="162"/>
      <c r="M47" s="162">
        <f t="shared" si="7"/>
        <v>2517.5509695208966</v>
      </c>
      <c r="AB47" s="163"/>
      <c r="BF47" s="738"/>
      <c r="BG47" s="179"/>
      <c r="BH47" s="179"/>
      <c r="BI47" s="179"/>
      <c r="BK47" s="767"/>
    </row>
    <row r="48" spans="1:63" ht="14.1" customHeight="1" x14ac:dyDescent="0.25">
      <c r="B48" s="182" t="s">
        <v>87</v>
      </c>
      <c r="C48" s="183"/>
      <c r="D48" s="733"/>
      <c r="E48" s="753"/>
      <c r="F48" s="735"/>
      <c r="G48" s="768"/>
      <c r="H48" s="737"/>
      <c r="K48" s="162">
        <f t="shared" si="8"/>
        <v>0</v>
      </c>
      <c r="M48" s="162">
        <f t="shared" si="7"/>
        <v>0</v>
      </c>
      <c r="BG48" s="169"/>
      <c r="BH48" s="169"/>
      <c r="BI48" s="169"/>
      <c r="BK48" s="274"/>
    </row>
    <row r="49" spans="1:63" ht="14.1" customHeight="1" x14ac:dyDescent="0.25">
      <c r="B49" s="177" t="s">
        <v>725</v>
      </c>
      <c r="C49" s="183"/>
      <c r="D49" s="733"/>
      <c r="E49" s="753"/>
      <c r="F49" s="735"/>
      <c r="G49" s="736"/>
      <c r="H49" s="737"/>
      <c r="K49" s="162">
        <f t="shared" si="8"/>
        <v>0</v>
      </c>
      <c r="M49" s="162">
        <f t="shared" si="7"/>
        <v>0</v>
      </c>
      <c r="BG49" s="169"/>
      <c r="BH49" s="169"/>
      <c r="BI49" s="169"/>
    </row>
    <row r="50" spans="1:63" ht="14.1" customHeight="1" x14ac:dyDescent="0.25">
      <c r="B50" s="177" t="s">
        <v>726</v>
      </c>
      <c r="C50" s="176">
        <f>+A287</f>
        <v>17</v>
      </c>
      <c r="D50" s="733">
        <f>D302</f>
        <v>17272.729860049567</v>
      </c>
      <c r="E50" s="734">
        <f>E302</f>
        <v>17299.429266224168</v>
      </c>
      <c r="F50" s="735">
        <f>F302</f>
        <v>14471.980488792999</v>
      </c>
      <c r="G50" s="769"/>
      <c r="H50" s="737"/>
      <c r="J50" s="161">
        <f t="shared" si="0"/>
        <v>-26.699406174600881</v>
      </c>
      <c r="K50" s="162">
        <f>+E50-F50-SUM('[15]Balance sheet groupings'!E505:E510)</f>
        <v>2827.0678053141692</v>
      </c>
      <c r="M50" s="162">
        <f t="shared" si="7"/>
        <v>-26.699406174600881</v>
      </c>
      <c r="N50" s="162" t="s">
        <v>734</v>
      </c>
      <c r="BF50" s="738"/>
      <c r="BG50" s="169"/>
      <c r="BH50" s="169"/>
      <c r="BI50" s="169"/>
    </row>
    <row r="51" spans="1:63" ht="14.1" customHeight="1" x14ac:dyDescent="0.25">
      <c r="B51" s="177" t="s">
        <v>728</v>
      </c>
      <c r="C51" s="176" t="str">
        <f>+A305</f>
        <v>17A</v>
      </c>
      <c r="D51" s="733">
        <f>D307</f>
        <v>143.34015883641359</v>
      </c>
      <c r="E51" s="734">
        <f t="shared" ref="E51:F51" si="10">E307</f>
        <v>161.37657508971779</v>
      </c>
      <c r="F51" s="735">
        <f t="shared" si="10"/>
        <v>156.01503409498218</v>
      </c>
      <c r="G51" s="736"/>
      <c r="H51" s="737"/>
      <c r="J51" s="161">
        <f t="shared" si="0"/>
        <v>-18.036416253304196</v>
      </c>
      <c r="K51" s="162">
        <f t="shared" si="0"/>
        <v>5.3615409947356056</v>
      </c>
      <c r="BF51" s="738"/>
      <c r="BG51" s="169"/>
      <c r="BH51" s="169"/>
      <c r="BI51" s="169"/>
    </row>
    <row r="52" spans="1:63" ht="14.1" customHeight="1" x14ac:dyDescent="0.25">
      <c r="B52" s="177" t="s">
        <v>735</v>
      </c>
      <c r="C52" s="176">
        <v>18</v>
      </c>
      <c r="D52" s="733">
        <f>+D310</f>
        <v>0.21883079999999999</v>
      </c>
      <c r="E52" s="734">
        <f t="shared" ref="E52:F53" si="11">+E310</f>
        <v>1.9636041497979999</v>
      </c>
      <c r="F52" s="735">
        <f t="shared" si="11"/>
        <v>0</v>
      </c>
      <c r="G52" s="736"/>
      <c r="H52" s="737"/>
      <c r="J52" s="161">
        <f t="shared" si="0"/>
        <v>-1.7447733497979998</v>
      </c>
      <c r="K52" s="162">
        <f t="shared" si="8"/>
        <v>1.9636041497979999</v>
      </c>
      <c r="M52" s="162">
        <f t="shared" si="7"/>
        <v>-1.7447733497979998</v>
      </c>
      <c r="BF52" s="738"/>
      <c r="BG52" s="169"/>
      <c r="BH52" s="169"/>
      <c r="BI52" s="169"/>
    </row>
    <row r="53" spans="1:63" ht="14.1" customHeight="1" x14ac:dyDescent="0.25">
      <c r="B53" s="177" t="s">
        <v>736</v>
      </c>
      <c r="C53" s="176">
        <f>+A309</f>
        <v>18</v>
      </c>
      <c r="D53" s="733">
        <f>+D311</f>
        <v>8102.969552442999</v>
      </c>
      <c r="E53" s="734">
        <f t="shared" si="11"/>
        <v>6651.4754589652011</v>
      </c>
      <c r="F53" s="735">
        <f t="shared" si="11"/>
        <v>6036.5029871409979</v>
      </c>
      <c r="G53" s="736"/>
      <c r="H53" s="737"/>
      <c r="J53" s="161">
        <f t="shared" si="0"/>
        <v>1451.4940934777978</v>
      </c>
      <c r="K53" s="186">
        <f t="shared" si="8"/>
        <v>614.97247182420324</v>
      </c>
      <c r="M53" s="162">
        <f t="shared" si="7"/>
        <v>1451.4940934777978</v>
      </c>
      <c r="N53" s="162" t="s">
        <v>708</v>
      </c>
      <c r="BF53" s="738"/>
      <c r="BG53" s="169"/>
      <c r="BH53" s="169"/>
      <c r="BI53" s="169"/>
      <c r="BK53" s="187"/>
    </row>
    <row r="54" spans="1:63" ht="14.1" customHeight="1" x14ac:dyDescent="0.25">
      <c r="B54" s="177" t="s">
        <v>737</v>
      </c>
      <c r="C54" s="176">
        <f>+A314</f>
        <v>19</v>
      </c>
      <c r="D54" s="733">
        <f>D325</f>
        <v>4173.9457693559998</v>
      </c>
      <c r="E54" s="734">
        <f>E325</f>
        <v>3700.7722904539996</v>
      </c>
      <c r="F54" s="735">
        <f>F325</f>
        <v>4324.5029142329995</v>
      </c>
      <c r="G54" s="736"/>
      <c r="H54" s="737"/>
      <c r="J54" s="161">
        <f t="shared" si="0"/>
        <v>473.17347890200017</v>
      </c>
      <c r="K54" s="186">
        <f t="shared" si="8"/>
        <v>-623.73062377899987</v>
      </c>
      <c r="M54" s="162">
        <f t="shared" si="7"/>
        <v>473.17347890200017</v>
      </c>
      <c r="N54" s="162" t="s">
        <v>738</v>
      </c>
      <c r="BF54" s="738"/>
      <c r="BG54" s="169"/>
      <c r="BH54" s="169"/>
      <c r="BI54" s="169"/>
    </row>
    <row r="55" spans="1:63" ht="14.1" customHeight="1" x14ac:dyDescent="0.25">
      <c r="B55" s="177" t="s">
        <v>739</v>
      </c>
      <c r="C55" s="176">
        <f>+A327</f>
        <v>20</v>
      </c>
      <c r="D55" s="733">
        <f>D337</f>
        <v>182.35702072499998</v>
      </c>
      <c r="E55" s="734">
        <f>E337</f>
        <v>113.63238639800001</v>
      </c>
      <c r="F55" s="735">
        <f>F337</f>
        <v>107.41981531800002</v>
      </c>
      <c r="G55" s="736"/>
      <c r="H55" s="737"/>
      <c r="J55" s="161">
        <f t="shared" si="0"/>
        <v>68.724634326999976</v>
      </c>
      <c r="K55" s="186">
        <f t="shared" si="8"/>
        <v>6.2125710799999894</v>
      </c>
      <c r="M55" s="162">
        <f t="shared" si="7"/>
        <v>68.724634326999976</v>
      </c>
      <c r="BF55" s="738"/>
      <c r="BG55" s="169"/>
      <c r="BH55" s="169"/>
      <c r="BI55" s="169"/>
    </row>
    <row r="56" spans="1:63" ht="14.1" customHeight="1" x14ac:dyDescent="0.25">
      <c r="B56" s="177" t="s">
        <v>729</v>
      </c>
      <c r="C56" s="176">
        <f>+A339</f>
        <v>21</v>
      </c>
      <c r="D56" s="733">
        <f>D342</f>
        <v>239.07374370900004</v>
      </c>
      <c r="E56" s="734">
        <f>E342</f>
        <v>265.22147626999993</v>
      </c>
      <c r="F56" s="735">
        <f>F342</f>
        <v>248.09761041000013</v>
      </c>
      <c r="G56" s="736"/>
      <c r="H56" s="737"/>
      <c r="J56" s="161">
        <f t="shared" si="0"/>
        <v>-26.147732560999884</v>
      </c>
      <c r="K56" s="186">
        <f t="shared" si="8"/>
        <v>17.123865859999796</v>
      </c>
      <c r="M56" s="162">
        <f t="shared" si="7"/>
        <v>-26.147732560999884</v>
      </c>
      <c r="N56" s="162" t="s">
        <v>740</v>
      </c>
      <c r="BG56" s="169"/>
      <c r="BH56" s="169"/>
      <c r="BI56" s="169"/>
    </row>
    <row r="57" spans="1:63" s="747" customFormat="1" ht="14.1" customHeight="1" x14ac:dyDescent="0.25">
      <c r="A57" s="156"/>
      <c r="B57" s="188" t="s">
        <v>741</v>
      </c>
      <c r="C57" s="189"/>
      <c r="D57" s="744">
        <f>SUM(D50:D56)</f>
        <v>30114.634935918981</v>
      </c>
      <c r="E57" s="745">
        <f>SUM(E50:E56)</f>
        <v>28193.871057550881</v>
      </c>
      <c r="F57" s="746">
        <f>SUM(F50:F56)</f>
        <v>25344.518849989978</v>
      </c>
      <c r="G57" s="736"/>
      <c r="H57" s="737"/>
      <c r="I57" s="178"/>
      <c r="J57" s="161"/>
      <c r="K57" s="162"/>
      <c r="M57" s="162">
        <f t="shared" si="7"/>
        <v>1920.7638783680995</v>
      </c>
      <c r="AB57" s="163"/>
      <c r="BF57" s="738"/>
      <c r="BG57" s="190"/>
      <c r="BH57" s="190"/>
      <c r="BI57" s="190"/>
    </row>
    <row r="58" spans="1:63" s="747" customFormat="1" ht="15.75" thickBot="1" x14ac:dyDescent="0.3">
      <c r="A58" s="156"/>
      <c r="B58" s="191" t="s">
        <v>742</v>
      </c>
      <c r="C58" s="192"/>
      <c r="D58" s="759">
        <f>D57+D47+D38</f>
        <v>76846.693101994009</v>
      </c>
      <c r="E58" s="760">
        <f>E57+E47+E38</f>
        <v>73128.057777448004</v>
      </c>
      <c r="F58" s="746">
        <f>F57+F47+F38</f>
        <v>72029.817368258533</v>
      </c>
      <c r="G58" s="736"/>
      <c r="H58" s="737"/>
      <c r="I58" s="178"/>
      <c r="J58" s="161"/>
      <c r="K58" s="162"/>
      <c r="M58" s="162">
        <f t="shared" si="7"/>
        <v>3718.635324546005</v>
      </c>
      <c r="AB58" s="163"/>
      <c r="BF58" s="738"/>
      <c r="BG58" s="770"/>
      <c r="BH58" s="770"/>
      <c r="BI58" s="770"/>
    </row>
    <row r="59" spans="1:63" s="195" customFormat="1" ht="26.25" customHeight="1" thickTop="1" x14ac:dyDescent="0.25">
      <c r="A59" s="193"/>
      <c r="B59" s="1681" t="s">
        <v>743</v>
      </c>
      <c r="C59" s="1682"/>
      <c r="D59" s="771">
        <f>D58-D30</f>
        <v>1.1873009498231113E-5</v>
      </c>
      <c r="E59" s="772">
        <f>E58-E30</f>
        <v>8.4840139606967568E-6</v>
      </c>
      <c r="F59" s="771">
        <f>F58-F30</f>
        <v>-1.9746948964893818E-7</v>
      </c>
      <c r="G59" s="773"/>
      <c r="H59" s="737"/>
      <c r="I59" s="161"/>
      <c r="J59" s="161">
        <f>SUM(J6:J58)</f>
        <v>7437.2706457030017</v>
      </c>
      <c r="K59" s="161">
        <f>SUM(K6:K58)</f>
        <v>2196.0998375804666</v>
      </c>
      <c r="AB59" s="163"/>
      <c r="BF59" s="196"/>
      <c r="BG59" s="169"/>
    </row>
    <row r="60" spans="1:63" s="195" customFormat="1" ht="15.75" x14ac:dyDescent="0.25">
      <c r="A60" s="193"/>
      <c r="B60" s="207" t="s">
        <v>744</v>
      </c>
      <c r="C60" s="197"/>
      <c r="D60" s="774">
        <f>D53+D52</f>
        <v>8103.1883832429994</v>
      </c>
      <c r="E60" s="775"/>
      <c r="F60" s="585"/>
      <c r="G60" s="163"/>
      <c r="H60" s="169"/>
      <c r="I60" s="776"/>
      <c r="J60" s="161"/>
      <c r="AB60" s="163"/>
      <c r="BG60" s="169"/>
    </row>
    <row r="61" spans="1:63" s="195" customFormat="1" ht="15.75" x14ac:dyDescent="0.25">
      <c r="A61" s="193"/>
      <c r="B61" s="777" t="s">
        <v>745</v>
      </c>
      <c r="C61" s="778" t="s">
        <v>746</v>
      </c>
      <c r="D61" s="198"/>
      <c r="E61" s="199"/>
      <c r="F61" s="779"/>
      <c r="G61" s="200"/>
      <c r="H61" s="169"/>
      <c r="I61" s="161"/>
      <c r="J61" s="161"/>
      <c r="AB61" s="163"/>
      <c r="BG61" s="169"/>
    </row>
    <row r="62" spans="1:63" s="195" customFormat="1" ht="15.75" x14ac:dyDescent="0.25">
      <c r="A62" s="193"/>
      <c r="B62" s="207" t="s">
        <v>747</v>
      </c>
      <c r="C62" s="163"/>
      <c r="D62" s="198"/>
      <c r="E62" s="199"/>
      <c r="F62" s="779"/>
      <c r="G62" s="200"/>
      <c r="H62" s="169"/>
      <c r="I62" s="161"/>
      <c r="J62" s="161"/>
      <c r="AB62" s="163"/>
      <c r="BG62" s="169"/>
    </row>
    <row r="63" spans="1:63" s="195" customFormat="1" ht="15.75" x14ac:dyDescent="0.25">
      <c r="A63" s="193"/>
      <c r="B63" s="207" t="s">
        <v>748</v>
      </c>
      <c r="C63" s="163"/>
      <c r="D63" s="201"/>
      <c r="E63" s="202"/>
      <c r="F63" s="779"/>
      <c r="G63" s="200"/>
      <c r="H63" s="169"/>
      <c r="I63" s="161"/>
      <c r="J63" s="161"/>
      <c r="AB63" s="163"/>
      <c r="BG63" s="169"/>
    </row>
    <row r="64" spans="1:63" s="195" customFormat="1" ht="30" customHeight="1" x14ac:dyDescent="0.25">
      <c r="A64" s="193"/>
      <c r="B64" s="207"/>
      <c r="C64" s="163"/>
      <c r="D64" s="201"/>
      <c r="E64" s="202"/>
      <c r="F64" s="779"/>
      <c r="G64" s="200"/>
      <c r="H64" s="169"/>
      <c r="I64" s="161"/>
      <c r="J64" s="161"/>
      <c r="AB64" s="163"/>
      <c r="BG64" s="169"/>
    </row>
    <row r="65" spans="1:61" s="195" customFormat="1" ht="15.75" x14ac:dyDescent="0.25">
      <c r="A65" s="193"/>
      <c r="B65" s="207" t="s">
        <v>749</v>
      </c>
      <c r="C65" s="163"/>
      <c r="D65" s="201"/>
      <c r="E65" s="202"/>
      <c r="F65" s="779"/>
      <c r="G65" s="200"/>
      <c r="H65" s="169"/>
      <c r="I65" s="161"/>
      <c r="J65" s="161"/>
      <c r="AB65" s="163"/>
      <c r="BG65" s="169"/>
    </row>
    <row r="66" spans="1:61" s="195" customFormat="1" ht="15.75" x14ac:dyDescent="0.25">
      <c r="A66" s="193"/>
      <c r="B66" s="207" t="s">
        <v>750</v>
      </c>
      <c r="C66" s="780" t="s">
        <v>751</v>
      </c>
      <c r="D66" s="201"/>
      <c r="E66" s="203" t="s">
        <v>752</v>
      </c>
      <c r="F66" s="781"/>
      <c r="H66" s="169"/>
      <c r="I66" s="161"/>
      <c r="J66" s="161"/>
      <c r="K66" s="204" t="s">
        <v>753</v>
      </c>
      <c r="AB66" s="163"/>
      <c r="BG66" s="169"/>
    </row>
    <row r="67" spans="1:61" s="195" customFormat="1" ht="15.75" x14ac:dyDescent="0.25">
      <c r="A67" s="193"/>
      <c r="B67" s="207"/>
      <c r="C67" s="780" t="s">
        <v>754</v>
      </c>
      <c r="D67" s="201"/>
      <c r="E67" s="203" t="s">
        <v>755</v>
      </c>
      <c r="F67" s="781"/>
      <c r="H67" s="169"/>
      <c r="I67" s="161"/>
      <c r="J67" s="161"/>
      <c r="K67" s="204" t="s">
        <v>756</v>
      </c>
      <c r="AB67" s="163"/>
      <c r="BG67" s="169"/>
    </row>
    <row r="68" spans="1:61" s="195" customFormat="1" ht="15.75" x14ac:dyDescent="0.25">
      <c r="A68" s="193"/>
      <c r="B68" s="777" t="s">
        <v>757</v>
      </c>
      <c r="C68" s="205" t="s">
        <v>758</v>
      </c>
      <c r="D68" s="201"/>
      <c r="E68" s="203" t="s">
        <v>759</v>
      </c>
      <c r="F68" s="781"/>
      <c r="H68" s="169"/>
      <c r="I68" s="161"/>
      <c r="J68" s="161"/>
      <c r="K68" s="195" t="s">
        <v>760</v>
      </c>
      <c r="AB68" s="163"/>
      <c r="BG68" s="169"/>
    </row>
    <row r="69" spans="1:61" s="195" customFormat="1" ht="15.75" x14ac:dyDescent="0.25">
      <c r="A69" s="193"/>
      <c r="B69" s="207" t="s">
        <v>747</v>
      </c>
      <c r="C69" s="163"/>
      <c r="D69" s="201"/>
      <c r="E69" s="206"/>
      <c r="F69" s="781"/>
      <c r="H69" s="169"/>
      <c r="I69" s="161"/>
      <c r="J69" s="161"/>
      <c r="K69" s="204" t="s">
        <v>761</v>
      </c>
      <c r="AB69" s="163"/>
      <c r="BG69" s="169"/>
    </row>
    <row r="70" spans="1:61" s="195" customFormat="1" ht="15.75" x14ac:dyDescent="0.25">
      <c r="A70" s="193"/>
      <c r="B70" s="207" t="s">
        <v>762</v>
      </c>
      <c r="C70" s="163"/>
      <c r="D70" s="201"/>
      <c r="E70" s="206"/>
      <c r="F70" s="781"/>
      <c r="H70" s="169"/>
      <c r="I70" s="161"/>
      <c r="J70" s="161"/>
      <c r="K70" s="195" t="s">
        <v>763</v>
      </c>
      <c r="AB70" s="163"/>
      <c r="BG70" s="169"/>
    </row>
    <row r="71" spans="1:61" s="195" customFormat="1" ht="26.25" customHeight="1" x14ac:dyDescent="0.25">
      <c r="A71" s="193"/>
      <c r="B71" s="207"/>
      <c r="C71" s="163"/>
      <c r="D71" s="201"/>
      <c r="E71" s="206"/>
      <c r="F71" s="781"/>
      <c r="H71" s="169"/>
      <c r="I71" s="161"/>
      <c r="J71" s="161"/>
      <c r="K71" s="195" t="s">
        <v>764</v>
      </c>
      <c r="AB71" s="163"/>
      <c r="BG71" s="169"/>
    </row>
    <row r="72" spans="1:61" s="195" customFormat="1" ht="15" customHeight="1" x14ac:dyDescent="0.25">
      <c r="A72" s="193"/>
      <c r="B72" s="207" t="s">
        <v>765</v>
      </c>
      <c r="C72" s="782" t="s">
        <v>766</v>
      </c>
      <c r="D72" s="163"/>
      <c r="E72" s="208" t="s">
        <v>767</v>
      </c>
      <c r="F72" s="781"/>
      <c r="H72" s="169"/>
      <c r="I72" s="161"/>
      <c r="J72" s="161"/>
      <c r="K72" s="195" t="s">
        <v>768</v>
      </c>
      <c r="AB72" s="163"/>
      <c r="BG72" s="169"/>
    </row>
    <row r="73" spans="1:61" s="195" customFormat="1" ht="15.75" x14ac:dyDescent="0.25">
      <c r="A73" s="193"/>
      <c r="B73" s="207" t="s">
        <v>769</v>
      </c>
      <c r="C73" s="782" t="s">
        <v>770</v>
      </c>
      <c r="D73" s="163"/>
      <c r="E73" s="208" t="s">
        <v>771</v>
      </c>
      <c r="F73" s="781"/>
      <c r="H73" s="169"/>
      <c r="I73" s="161"/>
      <c r="J73" s="161"/>
      <c r="K73" s="195" t="s">
        <v>772</v>
      </c>
      <c r="AB73" s="163"/>
      <c r="BG73" s="169"/>
    </row>
    <row r="74" spans="1:61" s="195" customFormat="1" ht="15.75" x14ac:dyDescent="0.25">
      <c r="A74" s="193"/>
      <c r="B74" s="207" t="s">
        <v>773</v>
      </c>
      <c r="C74" s="300"/>
      <c r="D74" s="163"/>
      <c r="E74" s="208" t="s">
        <v>774</v>
      </c>
      <c r="F74" s="781"/>
      <c r="H74" s="169"/>
      <c r="I74" s="161"/>
      <c r="J74" s="161"/>
      <c r="K74" s="204" t="s">
        <v>775</v>
      </c>
      <c r="AB74" s="163"/>
      <c r="BG74" s="169"/>
    </row>
    <row r="75" spans="1:61" ht="15.75" x14ac:dyDescent="0.25">
      <c r="A75" s="210"/>
      <c r="B75" s="211"/>
      <c r="C75" s="212"/>
      <c r="D75" s="213"/>
      <c r="E75" s="214"/>
      <c r="F75" s="585"/>
      <c r="BG75" s="169"/>
      <c r="BH75" s="169"/>
      <c r="BI75" s="169"/>
    </row>
    <row r="76" spans="1:61" ht="18" customHeight="1" x14ac:dyDescent="0.25">
      <c r="A76" s="163"/>
      <c r="B76" s="215" t="str">
        <f>B1</f>
        <v>MAHARASHTRA STATE POWER GENERATION COMPANY LIMITED [CIN -U40100MH2005SGC153648]</v>
      </c>
      <c r="C76" s="216"/>
      <c r="D76" s="216"/>
      <c r="E76" s="217"/>
      <c r="F76" s="779"/>
      <c r="G76" s="200"/>
      <c r="I76" s="219"/>
      <c r="J76" s="219"/>
      <c r="BG76" s="169"/>
      <c r="BH76" s="169"/>
      <c r="BI76" s="169"/>
    </row>
    <row r="77" spans="1:61" ht="15.75" x14ac:dyDescent="0.25">
      <c r="A77" s="163"/>
      <c r="B77" s="220" t="s">
        <v>776</v>
      </c>
      <c r="C77" s="221" t="s">
        <v>777</v>
      </c>
      <c r="D77" s="222"/>
      <c r="E77" s="223" t="s">
        <v>778</v>
      </c>
      <c r="F77" s="779"/>
      <c r="G77" s="200"/>
      <c r="H77" s="224"/>
      <c r="I77" s="219"/>
      <c r="J77" s="219"/>
      <c r="BG77" s="169"/>
      <c r="BH77" s="169"/>
      <c r="BI77" s="169"/>
    </row>
    <row r="78" spans="1:61" ht="15.75" x14ac:dyDescent="0.25">
      <c r="A78" s="163"/>
      <c r="B78" s="225"/>
      <c r="C78" s="226" t="s">
        <v>678</v>
      </c>
      <c r="D78" s="227" t="s">
        <v>779</v>
      </c>
      <c r="E78" s="228" t="s">
        <v>780</v>
      </c>
      <c r="F78" s="779"/>
      <c r="G78" s="200"/>
      <c r="H78" s="224"/>
      <c r="I78" s="219"/>
      <c r="J78" s="219"/>
      <c r="BG78" s="169"/>
      <c r="BH78" s="169"/>
      <c r="BI78" s="169"/>
    </row>
    <row r="79" spans="1:61" ht="15.75" x14ac:dyDescent="0.25">
      <c r="A79" s="163"/>
      <c r="B79" s="229" t="s">
        <v>781</v>
      </c>
      <c r="C79" s="230"/>
      <c r="D79" s="231"/>
      <c r="E79" s="232"/>
      <c r="F79" s="779"/>
      <c r="G79" s="200"/>
      <c r="H79" s="224"/>
      <c r="I79" s="219">
        <f>53991-50172</f>
        <v>3819</v>
      </c>
      <c r="J79" s="219"/>
      <c r="BG79" s="169"/>
      <c r="BH79" s="169"/>
      <c r="BI79" s="169"/>
    </row>
    <row r="80" spans="1:61" ht="15.75" x14ac:dyDescent="0.25">
      <c r="A80" s="163"/>
      <c r="B80" s="233" t="s">
        <v>124</v>
      </c>
      <c r="C80" s="234"/>
      <c r="D80" s="235"/>
      <c r="E80" s="236"/>
      <c r="F80" s="779"/>
      <c r="G80" s="200"/>
      <c r="H80" s="224"/>
      <c r="I80" s="219">
        <f>+E86*J80</f>
        <v>16874.600932680092</v>
      </c>
      <c r="J80" s="219">
        <f>50172/46455</f>
        <v>1.080012915724895</v>
      </c>
      <c r="BG80" s="169"/>
      <c r="BH80" s="169"/>
      <c r="BI80" s="169"/>
    </row>
    <row r="81" spans="1:61" ht="15.75" x14ac:dyDescent="0.25">
      <c r="A81" s="163"/>
      <c r="B81" s="233" t="s">
        <v>782</v>
      </c>
      <c r="C81" s="237">
        <v>22</v>
      </c>
      <c r="D81" s="783">
        <f>D349</f>
        <v>28887.792758649004</v>
      </c>
      <c r="E81" s="784">
        <f>+E349</f>
        <v>21951.027246148002</v>
      </c>
      <c r="F81" s="779"/>
      <c r="G81" s="785">
        <f t="shared" ref="G81:G83" si="12">+D81-E81</f>
        <v>6936.7655125010024</v>
      </c>
      <c r="H81" t="s">
        <v>783</v>
      </c>
      <c r="J81" s="219"/>
      <c r="L81" s="786"/>
      <c r="BG81" s="169"/>
      <c r="BH81" s="169"/>
      <c r="BI81" s="169"/>
    </row>
    <row r="82" spans="1:61" ht="15.75" x14ac:dyDescent="0.25">
      <c r="A82" s="163"/>
      <c r="B82" s="233" t="s">
        <v>784</v>
      </c>
      <c r="C82" s="237">
        <f>+A350</f>
        <v>23</v>
      </c>
      <c r="D82" s="783">
        <f>D357</f>
        <v>235.81737150599997</v>
      </c>
      <c r="E82" s="784">
        <f>+E357</f>
        <v>232.96699720200002</v>
      </c>
      <c r="F82" s="779"/>
      <c r="G82" s="785">
        <f t="shared" si="12"/>
        <v>2.8503743039999563</v>
      </c>
      <c r="H82" t="s">
        <v>785</v>
      </c>
      <c r="J82" s="219"/>
      <c r="L82" s="786"/>
      <c r="BG82" s="169"/>
      <c r="BH82" s="169"/>
      <c r="BI82" s="169"/>
    </row>
    <row r="83" spans="1:61" ht="15.75" x14ac:dyDescent="0.25">
      <c r="A83" s="163"/>
      <c r="B83" s="233" t="s">
        <v>125</v>
      </c>
      <c r="C83" s="237">
        <f>+A358</f>
        <v>24</v>
      </c>
      <c r="D83" s="783">
        <f>D373</f>
        <v>4199.4453070320005</v>
      </c>
      <c r="E83" s="784">
        <f>+E373</f>
        <v>1331.6756587420002</v>
      </c>
      <c r="F83" s="779"/>
      <c r="G83" s="785">
        <f t="shared" si="12"/>
        <v>2867.7696482900001</v>
      </c>
      <c r="H83" t="s">
        <v>786</v>
      </c>
      <c r="J83" s="219"/>
      <c r="L83" s="786"/>
      <c r="O83" s="238"/>
      <c r="BG83" s="169"/>
      <c r="BH83" s="169"/>
      <c r="BI83" s="169"/>
    </row>
    <row r="84" spans="1:61" ht="15.75" x14ac:dyDescent="0.25">
      <c r="A84" s="163"/>
      <c r="B84" s="239" t="s">
        <v>787</v>
      </c>
      <c r="C84" s="240"/>
      <c r="D84" s="787">
        <f>SUM(D81:D83)</f>
        <v>33323.055437187002</v>
      </c>
      <c r="E84" s="788">
        <f>SUM(E81:E83)</f>
        <v>23515.669902091999</v>
      </c>
      <c r="F84" s="779"/>
      <c r="G84" s="766"/>
      <c r="H84" s="785"/>
      <c r="I84" s="241"/>
      <c r="J84" s="242"/>
      <c r="BG84" s="169"/>
      <c r="BH84" s="169"/>
      <c r="BI84" s="169"/>
    </row>
    <row r="85" spans="1:61" ht="15.75" x14ac:dyDescent="0.25">
      <c r="A85" s="163"/>
      <c r="B85" s="243" t="s">
        <v>129</v>
      </c>
      <c r="C85" s="240"/>
      <c r="D85" s="783"/>
      <c r="E85" s="789"/>
      <c r="F85" s="779"/>
      <c r="G85" s="790"/>
      <c r="H85" s="238"/>
      <c r="I85" s="241"/>
      <c r="J85" s="219"/>
      <c r="BG85" s="169"/>
      <c r="BH85" s="169"/>
      <c r="BI85" s="169"/>
    </row>
    <row r="86" spans="1:61" ht="15.75" x14ac:dyDescent="0.25">
      <c r="A86" s="163"/>
      <c r="B86" s="233" t="s">
        <v>788</v>
      </c>
      <c r="C86" s="237">
        <f>+A377</f>
        <v>25</v>
      </c>
      <c r="D86" s="783">
        <f>D384</f>
        <v>23982.989425080999</v>
      </c>
      <c r="E86" s="784">
        <f>+E384</f>
        <v>15624.443640429996</v>
      </c>
      <c r="F86" s="779"/>
      <c r="G86" s="785">
        <f>+D86-E86</f>
        <v>8358.5457846510035</v>
      </c>
      <c r="H86" t="s">
        <v>789</v>
      </c>
      <c r="J86" s="219"/>
      <c r="L86" s="786"/>
      <c r="BG86" s="169"/>
      <c r="BH86" s="169"/>
      <c r="BI86" s="169"/>
    </row>
    <row r="87" spans="1:61" ht="15.75" x14ac:dyDescent="0.25">
      <c r="A87" s="163"/>
      <c r="B87" s="233" t="s">
        <v>790</v>
      </c>
      <c r="C87" s="237">
        <f>+A386</f>
        <v>26</v>
      </c>
      <c r="D87" s="783">
        <f>D391</f>
        <v>1706.0810431869998</v>
      </c>
      <c r="E87" s="784">
        <f>+E391</f>
        <v>1662.5453866150001</v>
      </c>
      <c r="F87" s="779"/>
      <c r="G87" s="785">
        <f>+D87-E87</f>
        <v>43.535656571999652</v>
      </c>
      <c r="H87" t="s">
        <v>791</v>
      </c>
      <c r="J87" s="219"/>
      <c r="L87" s="786"/>
      <c r="BG87" s="169"/>
      <c r="BH87" s="169"/>
      <c r="BI87" s="169"/>
    </row>
    <row r="88" spans="1:61" ht="15.75" x14ac:dyDescent="0.25">
      <c r="A88" s="163"/>
      <c r="B88" s="233" t="s">
        <v>135</v>
      </c>
      <c r="C88" s="237">
        <f>+A395</f>
        <v>27</v>
      </c>
      <c r="D88" s="783">
        <f>D400</f>
        <v>3493.1497996790008</v>
      </c>
      <c r="E88" s="784">
        <f>+E400</f>
        <v>3523.5377632460004</v>
      </c>
      <c r="F88" s="779"/>
      <c r="G88" s="785">
        <f>+D88-E88</f>
        <v>-30.387963566999588</v>
      </c>
      <c r="H88" t="s">
        <v>792</v>
      </c>
      <c r="J88" s="219"/>
      <c r="L88" s="786"/>
      <c r="BG88" s="169"/>
      <c r="BH88" s="169"/>
      <c r="BI88" s="169"/>
    </row>
    <row r="89" spans="1:61" ht="16.5" customHeight="1" x14ac:dyDescent="0.25">
      <c r="A89" s="163"/>
      <c r="B89" s="233" t="s">
        <v>793</v>
      </c>
      <c r="C89" s="244" t="s">
        <v>794</v>
      </c>
      <c r="D89" s="783">
        <f>'[15]Profit &amp; Loss Grouping'!E321</f>
        <v>2842.8386249599998</v>
      </c>
      <c r="E89" s="784">
        <f>'[15]Profit &amp; Loss Grouping'!G321</f>
        <v>2788.0829005650003</v>
      </c>
      <c r="F89" s="779"/>
      <c r="G89" s="785">
        <f>+D89-E89</f>
        <v>54.755724394999561</v>
      </c>
      <c r="H89" t="s">
        <v>795</v>
      </c>
      <c r="J89" s="219"/>
      <c r="L89" s="786"/>
      <c r="BG89" s="169"/>
      <c r="BH89" s="169"/>
      <c r="BI89" s="169"/>
    </row>
    <row r="90" spans="1:61" ht="15.75" x14ac:dyDescent="0.25">
      <c r="A90" s="163"/>
      <c r="B90" s="233" t="s">
        <v>137</v>
      </c>
      <c r="C90" s="237">
        <f>+A402</f>
        <v>28</v>
      </c>
      <c r="D90" s="791">
        <f>D433</f>
        <v>2311.4436803170001</v>
      </c>
      <c r="E90" s="792">
        <f>+E433</f>
        <v>2020.6670143339998</v>
      </c>
      <c r="F90" s="779"/>
      <c r="G90" s="785">
        <f>+D90-E90</f>
        <v>290.77666598300038</v>
      </c>
      <c r="H90" t="s">
        <v>796</v>
      </c>
      <c r="J90" s="219"/>
      <c r="L90" s="786"/>
      <c r="BG90" s="169"/>
      <c r="BH90" s="169"/>
      <c r="BI90" s="169"/>
    </row>
    <row r="91" spans="1:61" ht="19.5" customHeight="1" x14ac:dyDescent="0.25">
      <c r="A91" s="163"/>
      <c r="B91" s="239" t="s">
        <v>797</v>
      </c>
      <c r="C91" s="240"/>
      <c r="D91" s="793">
        <f>SUM(D86:D90)</f>
        <v>34336.502573224003</v>
      </c>
      <c r="E91" s="794">
        <f>SUM(E86:E90)</f>
        <v>25619.276705190001</v>
      </c>
      <c r="F91" s="779"/>
      <c r="G91" s="766"/>
      <c r="H91" s="238"/>
      <c r="I91" s="219"/>
      <c r="J91" s="219"/>
      <c r="BG91" s="169"/>
      <c r="BH91" s="169"/>
      <c r="BI91" s="169"/>
    </row>
    <row r="92" spans="1:61" ht="27.75" hidden="1" customHeight="1" x14ac:dyDescent="0.25">
      <c r="A92" s="163"/>
      <c r="B92" s="245" t="s">
        <v>798</v>
      </c>
      <c r="C92" s="246"/>
      <c r="D92" s="795">
        <f>+D84-D91</f>
        <v>-1013.4471360370007</v>
      </c>
      <c r="E92" s="796">
        <f>+E84-E91</f>
        <v>-2103.6068030980023</v>
      </c>
      <c r="F92" s="779"/>
      <c r="G92" s="766"/>
      <c r="I92" s="247"/>
      <c r="J92" s="248">
        <v>343.1479195299944</v>
      </c>
      <c r="BG92" s="169"/>
      <c r="BH92" s="169"/>
      <c r="BI92" s="169"/>
    </row>
    <row r="93" spans="1:61" ht="15.75" hidden="1" customHeight="1" x14ac:dyDescent="0.25">
      <c r="A93" s="163"/>
      <c r="B93" s="249" t="s">
        <v>799</v>
      </c>
      <c r="C93" s="246"/>
      <c r="D93" s="783"/>
      <c r="E93" s="797"/>
      <c r="F93" s="779"/>
      <c r="G93" s="766"/>
      <c r="H93" s="224"/>
      <c r="I93" s="219"/>
      <c r="J93" s="248"/>
      <c r="BG93" s="169"/>
      <c r="BH93" s="169"/>
      <c r="BI93" s="169"/>
    </row>
    <row r="94" spans="1:61" ht="15.75" hidden="1" customHeight="1" x14ac:dyDescent="0.25">
      <c r="A94" s="163"/>
      <c r="B94" s="249" t="s">
        <v>800</v>
      </c>
      <c r="C94" s="246"/>
      <c r="D94" s="783">
        <f>D92-D93</f>
        <v>-1013.4471360370007</v>
      </c>
      <c r="E94" s="784">
        <f>E92-E93</f>
        <v>-2103.6068030980023</v>
      </c>
      <c r="F94" s="779"/>
      <c r="G94" s="766"/>
      <c r="H94" s="224"/>
      <c r="I94" s="219"/>
      <c r="J94" s="248"/>
      <c r="BG94" s="169"/>
      <c r="BH94" s="169"/>
      <c r="BI94" s="169"/>
    </row>
    <row r="95" spans="1:61" ht="15.75" hidden="1" customHeight="1" x14ac:dyDescent="0.25">
      <c r="A95" s="163"/>
      <c r="B95" s="249" t="s">
        <v>801</v>
      </c>
      <c r="C95" s="246"/>
      <c r="D95" s="791"/>
      <c r="E95" s="798"/>
      <c r="F95" s="779"/>
      <c r="G95" s="766"/>
      <c r="H95" s="224"/>
      <c r="I95" s="219"/>
      <c r="J95" s="248"/>
      <c r="BG95" s="169"/>
      <c r="BH95" s="169"/>
      <c r="BI95" s="169"/>
    </row>
    <row r="96" spans="1:61" ht="16.5" thickBot="1" x14ac:dyDescent="0.3">
      <c r="A96" s="163"/>
      <c r="B96" s="239" t="s">
        <v>802</v>
      </c>
      <c r="C96" s="240"/>
      <c r="D96" s="799">
        <f>+D92-D95</f>
        <v>-1013.4471360370007</v>
      </c>
      <c r="E96" s="800">
        <f>+E92-E93</f>
        <v>-2103.6068030980023</v>
      </c>
      <c r="F96" s="779"/>
      <c r="G96" s="766"/>
      <c r="H96" s="801"/>
      <c r="I96" s="224"/>
      <c r="J96" s="250"/>
      <c r="K96" s="162">
        <f>+E96+I108+E105</f>
        <v>-2155.1147560980021</v>
      </c>
      <c r="L96" s="162">
        <f>+E96</f>
        <v>-2103.6068030980023</v>
      </c>
      <c r="BG96" s="169"/>
      <c r="BH96" s="169"/>
      <c r="BI96" s="169"/>
    </row>
    <row r="97" spans="1:61" ht="16.5" thickTop="1" x14ac:dyDescent="0.25">
      <c r="A97" s="163"/>
      <c r="B97" s="243" t="s">
        <v>803</v>
      </c>
      <c r="C97" s="240"/>
      <c r="D97" s="783"/>
      <c r="E97" s="789"/>
      <c r="F97" s="779"/>
      <c r="G97" s="766"/>
      <c r="H97" s="224"/>
      <c r="I97" s="219"/>
      <c r="J97" s="248"/>
      <c r="L97" s="162">
        <f>+'[15]Tax Reco Note 15'!C77+'[15]Tax Reco Note 15'!D77</f>
        <v>472.23058348729563</v>
      </c>
      <c r="BG97" s="169"/>
      <c r="BH97" s="169"/>
      <c r="BI97" s="169"/>
    </row>
    <row r="98" spans="1:61" ht="15.75" x14ac:dyDescent="0.25">
      <c r="A98" s="163"/>
      <c r="B98" s="251" t="s">
        <v>663</v>
      </c>
      <c r="C98" s="240"/>
      <c r="D98" s="783">
        <f>+'[15]Input Sheet'!G1280</f>
        <v>0</v>
      </c>
      <c r="E98" s="784"/>
      <c r="F98" s="779"/>
      <c r="G98" s="766"/>
      <c r="H98" s="224"/>
      <c r="I98" s="219"/>
      <c r="J98" s="248"/>
      <c r="BG98" s="169"/>
      <c r="BH98" s="169"/>
      <c r="BI98" s="169"/>
    </row>
    <row r="99" spans="1:61" ht="15.75" hidden="1" x14ac:dyDescent="0.25">
      <c r="A99" s="163"/>
      <c r="B99" s="251" t="s">
        <v>804</v>
      </c>
      <c r="C99" s="240"/>
      <c r="D99" s="783">
        <f>-D437*0</f>
        <v>0</v>
      </c>
      <c r="E99" s="784">
        <v>0</v>
      </c>
      <c r="F99" s="779"/>
      <c r="G99" s="766"/>
      <c r="H99" s="224"/>
      <c r="I99" s="242"/>
      <c r="J99" s="248"/>
      <c r="L99" s="162">
        <f>+E105</f>
        <v>-51.507953000000001</v>
      </c>
      <c r="BF99" s="802"/>
      <c r="BG99" s="169"/>
      <c r="BH99" s="169"/>
      <c r="BI99" s="169"/>
    </row>
    <row r="100" spans="1:61" ht="15.75" x14ac:dyDescent="0.25">
      <c r="A100" s="163"/>
      <c r="B100" s="251" t="s">
        <v>805</v>
      </c>
      <c r="C100" s="252">
        <f>+C45</f>
        <v>15</v>
      </c>
      <c r="D100" s="783">
        <f>+D436</f>
        <v>-217.40822170348798</v>
      </c>
      <c r="E100" s="784">
        <f>+E436</f>
        <v>-459.26706188896003</v>
      </c>
      <c r="F100" s="779">
        <f>D100-D106</f>
        <v>-212.43677070697598</v>
      </c>
      <c r="G100" s="224">
        <f>+D100-D106</f>
        <v>-212.43677070697598</v>
      </c>
      <c r="H100" s="224">
        <f>+E100-E106</f>
        <v>-446.30354027792004</v>
      </c>
      <c r="I100" s="219"/>
      <c r="J100" s="248"/>
      <c r="K100" s="219">
        <f>SUM(K96:K99)</f>
        <v>-2155.1147560980021</v>
      </c>
      <c r="L100" s="219">
        <f>SUM(L96:L99)</f>
        <v>-1682.8841726107066</v>
      </c>
      <c r="BF100" s="802"/>
      <c r="BG100" s="169"/>
      <c r="BH100" s="169"/>
      <c r="BI100" s="169"/>
    </row>
    <row r="101" spans="1:61" ht="15.75" x14ac:dyDescent="0.25">
      <c r="A101" s="163"/>
      <c r="B101" s="251" t="s">
        <v>806</v>
      </c>
      <c r="C101" s="240"/>
      <c r="D101" s="803">
        <f>SUM(D98:D100)</f>
        <v>-217.40822170348798</v>
      </c>
      <c r="E101" s="804">
        <f>SUM(E98:E100)</f>
        <v>-459.26706188896003</v>
      </c>
      <c r="F101" s="779"/>
      <c r="G101" s="766"/>
      <c r="H101" s="224"/>
      <c r="I101" s="242"/>
      <c r="J101" s="248"/>
      <c r="BF101" s="802"/>
      <c r="BG101" s="169"/>
      <c r="BH101" s="169"/>
      <c r="BI101" s="169"/>
    </row>
    <row r="102" spans="1:61" ht="16.5" thickBot="1" x14ac:dyDescent="0.3">
      <c r="A102" s="163"/>
      <c r="B102" s="805" t="s">
        <v>807</v>
      </c>
      <c r="C102" s="240"/>
      <c r="D102" s="799">
        <f>+D96-D101</f>
        <v>-796.03891433351282</v>
      </c>
      <c r="E102" s="800">
        <f>+E96-E101</f>
        <v>-1644.3397412090421</v>
      </c>
      <c r="F102" s="779"/>
      <c r="G102" s="766"/>
      <c r="H102" s="224"/>
      <c r="I102" s="806"/>
      <c r="J102" s="248"/>
      <c r="BF102" s="802"/>
      <c r="BG102" s="169"/>
      <c r="BH102" s="169"/>
      <c r="BI102" s="169"/>
    </row>
    <row r="103" spans="1:61" ht="16.5" thickTop="1" x14ac:dyDescent="0.25">
      <c r="A103" s="163"/>
      <c r="B103" s="805" t="s">
        <v>808</v>
      </c>
      <c r="C103" s="240"/>
      <c r="D103" s="783"/>
      <c r="E103" s="789"/>
      <c r="F103" s="779"/>
      <c r="G103" s="766"/>
      <c r="H103" s="224"/>
      <c r="I103" s="219"/>
      <c r="J103" s="248"/>
      <c r="BF103" s="802"/>
      <c r="BG103" s="169"/>
      <c r="BH103" s="169"/>
      <c r="BI103" s="169"/>
    </row>
    <row r="104" spans="1:61" ht="15.75" x14ac:dyDescent="0.25">
      <c r="A104" s="163"/>
      <c r="B104" s="233" t="s">
        <v>809</v>
      </c>
      <c r="C104" s="240"/>
      <c r="D104" s="783"/>
      <c r="E104" s="789"/>
      <c r="F104" s="779"/>
      <c r="G104" s="766"/>
      <c r="H104" s="224"/>
      <c r="I104" s="219"/>
      <c r="J104" s="248"/>
      <c r="BF104" s="802"/>
      <c r="BG104" s="169"/>
      <c r="BH104" s="169"/>
      <c r="BI104" s="169"/>
    </row>
    <row r="105" spans="1:61" ht="15.75" x14ac:dyDescent="0.25">
      <c r="A105" s="163"/>
      <c r="B105" s="233" t="s">
        <v>810</v>
      </c>
      <c r="C105" s="240" t="str">
        <f>+A392</f>
        <v>26A</v>
      </c>
      <c r="D105" s="807">
        <f>-D393</f>
        <v>-19.753063399999998</v>
      </c>
      <c r="E105" s="784">
        <f>-E393</f>
        <v>-51.507953000000001</v>
      </c>
      <c r="F105" s="779">
        <f>-D105</f>
        <v>19.753063399999998</v>
      </c>
      <c r="G105" s="766"/>
      <c r="H105" s="253"/>
      <c r="I105" s="242"/>
      <c r="J105" s="254"/>
      <c r="BF105" s="802"/>
      <c r="BG105" s="169"/>
      <c r="BH105" s="169"/>
      <c r="BI105" s="169"/>
    </row>
    <row r="106" spans="1:61" ht="16.5" customHeight="1" x14ac:dyDescent="0.25">
      <c r="A106" s="163"/>
      <c r="B106" s="233" t="s">
        <v>811</v>
      </c>
      <c r="C106" s="240" t="str">
        <f>+A435</f>
        <v>28A</v>
      </c>
      <c r="D106" s="783">
        <f>-D437*0+D105*'[15]Computation (2)'!$F$4</f>
        <v>-4.971450996512</v>
      </c>
      <c r="E106" s="784">
        <f>-E437*0+E105*'[15]Computation (2)'!$F$4</f>
        <v>-12.963521611040001</v>
      </c>
      <c r="F106" s="779"/>
      <c r="G106" s="766">
        <f>D100-D106</f>
        <v>-212.43677070697598</v>
      </c>
      <c r="H106" s="224"/>
      <c r="I106" s="219"/>
      <c r="J106" s="248"/>
      <c r="BF106" s="802"/>
      <c r="BG106" s="169"/>
      <c r="BH106" s="169"/>
      <c r="BI106" s="169"/>
    </row>
    <row r="107" spans="1:61" ht="22.5" customHeight="1" x14ac:dyDescent="0.25">
      <c r="A107" s="163"/>
      <c r="B107" s="255" t="s">
        <v>812</v>
      </c>
      <c r="C107" s="240"/>
      <c r="D107" s="808">
        <f>+D105-D106</f>
        <v>-14.781612403487998</v>
      </c>
      <c r="E107" s="809">
        <f>+E105-E106</f>
        <v>-38.54443138896</v>
      </c>
      <c r="F107" s="779"/>
      <c r="G107" s="766"/>
      <c r="H107" s="224"/>
      <c r="I107" s="219"/>
      <c r="J107" s="248"/>
      <c r="BF107" s="802"/>
      <c r="BG107" s="169"/>
      <c r="BH107" s="169"/>
      <c r="BI107" s="169"/>
    </row>
    <row r="108" spans="1:61" ht="32.25" customHeight="1" x14ac:dyDescent="0.25">
      <c r="A108" s="163"/>
      <c r="B108" s="256" t="s">
        <v>813</v>
      </c>
      <c r="C108" s="257"/>
      <c r="D108" s="808">
        <f>+D102+D107</f>
        <v>-810.82052673700082</v>
      </c>
      <c r="E108" s="809">
        <f>+E102+E107</f>
        <v>-1682.8841725980021</v>
      </c>
      <c r="F108" s="779">
        <f>+[15]Vlookup!C1033/10^7</f>
        <v>-810.82052673700002</v>
      </c>
      <c r="G108" s="810">
        <f>D108-F108</f>
        <v>0</v>
      </c>
      <c r="H108" s="811" t="s">
        <v>814</v>
      </c>
      <c r="I108" s="258"/>
      <c r="J108" s="254"/>
      <c r="AA108" s="802"/>
      <c r="BF108" s="802"/>
      <c r="BG108" s="169"/>
      <c r="BH108" s="169"/>
      <c r="BI108" s="169"/>
    </row>
    <row r="109" spans="1:61" ht="16.5" hidden="1" customHeight="1" x14ac:dyDescent="0.25">
      <c r="A109" s="163"/>
      <c r="B109" s="259" t="s">
        <v>815</v>
      </c>
      <c r="C109" s="260" t="s">
        <v>816</v>
      </c>
      <c r="D109" s="812"/>
      <c r="E109" s="813"/>
      <c r="F109" s="779"/>
      <c r="G109" s="200"/>
      <c r="H109" s="224" t="s">
        <v>817</v>
      </c>
      <c r="I109" s="219"/>
      <c r="J109" s="242"/>
      <c r="AA109" s="802"/>
      <c r="BF109" s="802"/>
      <c r="BG109" s="169"/>
      <c r="BH109" s="169"/>
      <c r="BI109" s="169"/>
    </row>
    <row r="110" spans="1:61" ht="15.75" hidden="1" customHeight="1" x14ac:dyDescent="0.25">
      <c r="A110" s="163"/>
      <c r="B110" s="207" t="s">
        <v>818</v>
      </c>
      <c r="C110" s="260"/>
      <c r="D110" s="812">
        <f>+D102</f>
        <v>-796.03891433351282</v>
      </c>
      <c r="E110" s="813">
        <f>+E102</f>
        <v>-1644.3397412090421</v>
      </c>
      <c r="F110" s="779"/>
      <c r="G110" s="200"/>
      <c r="H110" s="224" t="s">
        <v>817</v>
      </c>
      <c r="I110" s="219"/>
      <c r="J110" s="242"/>
      <c r="AA110" s="802"/>
      <c r="BF110" s="802"/>
      <c r="BG110" s="169"/>
      <c r="BH110" s="169"/>
      <c r="BI110" s="169"/>
    </row>
    <row r="111" spans="1:61" ht="15.75" hidden="1" customHeight="1" x14ac:dyDescent="0.25">
      <c r="A111" s="163"/>
      <c r="B111" s="207" t="s">
        <v>819</v>
      </c>
      <c r="C111" s="260"/>
      <c r="D111" s="812">
        <v>0</v>
      </c>
      <c r="E111" s="813">
        <v>0</v>
      </c>
      <c r="F111" s="779"/>
      <c r="G111" s="200"/>
      <c r="H111" s="224" t="s">
        <v>817</v>
      </c>
      <c r="I111" s="219"/>
      <c r="J111" s="242"/>
      <c r="AA111" s="802"/>
      <c r="BF111" s="802"/>
      <c r="BG111" s="169"/>
      <c r="BH111" s="169"/>
      <c r="BI111" s="169"/>
    </row>
    <row r="112" spans="1:61" ht="15.75" hidden="1" customHeight="1" x14ac:dyDescent="0.25">
      <c r="A112" s="163"/>
      <c r="B112" s="259" t="s">
        <v>820</v>
      </c>
      <c r="C112" s="260"/>
      <c r="D112" s="808">
        <f>+D110+D111</f>
        <v>-796.03891433351282</v>
      </c>
      <c r="E112" s="814">
        <f>+E110+E111</f>
        <v>-1644.3397412090421</v>
      </c>
      <c r="F112" s="779"/>
      <c r="G112" s="200"/>
      <c r="H112" s="224" t="s">
        <v>817</v>
      </c>
      <c r="I112" s="219"/>
      <c r="J112" s="242"/>
      <c r="AA112" s="802"/>
      <c r="BF112" s="802"/>
      <c r="BG112" s="169"/>
      <c r="BH112" s="169"/>
      <c r="BI112" s="169"/>
    </row>
    <row r="113" spans="1:61" ht="15.75" hidden="1" customHeight="1" x14ac:dyDescent="0.25">
      <c r="A113" s="163"/>
      <c r="B113" s="259" t="s">
        <v>821</v>
      </c>
      <c r="C113" s="260"/>
      <c r="D113" s="812"/>
      <c r="E113" s="813"/>
      <c r="F113" s="779"/>
      <c r="G113" s="200"/>
      <c r="H113" s="224" t="s">
        <v>817</v>
      </c>
      <c r="I113" s="219"/>
      <c r="J113" s="242"/>
      <c r="AA113" s="802"/>
      <c r="BF113" s="802"/>
      <c r="BG113" s="169"/>
      <c r="BH113" s="169"/>
      <c r="BI113" s="169"/>
    </row>
    <row r="114" spans="1:61" ht="15.75" hidden="1" customHeight="1" x14ac:dyDescent="0.25">
      <c r="A114" s="163"/>
      <c r="B114" s="207" t="s">
        <v>818</v>
      </c>
      <c r="C114" s="260"/>
      <c r="D114" s="812">
        <f>+D107</f>
        <v>-14.781612403487998</v>
      </c>
      <c r="E114" s="813">
        <f>+E107</f>
        <v>-38.54443138896</v>
      </c>
      <c r="F114" s="779"/>
      <c r="G114" s="200"/>
      <c r="H114" s="224" t="s">
        <v>817</v>
      </c>
      <c r="I114" s="219"/>
      <c r="J114" s="242"/>
      <c r="AA114" s="802"/>
      <c r="BF114" s="802"/>
      <c r="BG114" s="169"/>
      <c r="BH114" s="169"/>
      <c r="BI114" s="169"/>
    </row>
    <row r="115" spans="1:61" ht="15.75" hidden="1" customHeight="1" x14ac:dyDescent="0.25">
      <c r="A115" s="163"/>
      <c r="B115" s="207" t="s">
        <v>819</v>
      </c>
      <c r="C115" s="260"/>
      <c r="D115" s="812">
        <v>0</v>
      </c>
      <c r="E115" s="813">
        <v>0</v>
      </c>
      <c r="F115" s="779"/>
      <c r="G115" s="200"/>
      <c r="H115" s="224" t="s">
        <v>817</v>
      </c>
      <c r="I115" s="219"/>
      <c r="J115" s="242"/>
      <c r="AA115" s="802"/>
      <c r="BF115" s="802"/>
      <c r="BG115" s="169"/>
      <c r="BH115" s="169"/>
      <c r="BI115" s="169"/>
    </row>
    <row r="116" spans="1:61" ht="15.75" hidden="1" customHeight="1" x14ac:dyDescent="0.25">
      <c r="A116" s="163"/>
      <c r="B116" s="259" t="s">
        <v>822</v>
      </c>
      <c r="C116" s="260"/>
      <c r="D116" s="808">
        <f>+D114+D115</f>
        <v>-14.781612403487998</v>
      </c>
      <c r="E116" s="814">
        <f>+E114+E115</f>
        <v>-38.54443138896</v>
      </c>
      <c r="F116" s="779"/>
      <c r="G116" s="200"/>
      <c r="H116" s="224" t="s">
        <v>817</v>
      </c>
      <c r="I116" s="219"/>
      <c r="J116" s="242"/>
      <c r="AA116" s="802"/>
      <c r="BF116" s="802"/>
      <c r="BG116" s="169"/>
      <c r="BH116" s="169"/>
      <c r="BI116" s="169"/>
    </row>
    <row r="117" spans="1:61" ht="15.75" hidden="1" customHeight="1" x14ac:dyDescent="0.25">
      <c r="A117" s="163"/>
      <c r="B117" s="259" t="s">
        <v>823</v>
      </c>
      <c r="C117" s="260"/>
      <c r="D117" s="812"/>
      <c r="E117" s="813"/>
      <c r="F117" s="779"/>
      <c r="G117" s="200"/>
      <c r="H117" s="224" t="s">
        <v>817</v>
      </c>
      <c r="I117" s="219"/>
      <c r="J117" s="242"/>
      <c r="AA117" s="802"/>
      <c r="BF117" s="802"/>
      <c r="BG117" s="169"/>
      <c r="BH117" s="169"/>
      <c r="BI117" s="169"/>
    </row>
    <row r="118" spans="1:61" ht="15.75" hidden="1" customHeight="1" x14ac:dyDescent="0.25">
      <c r="A118" s="163"/>
      <c r="B118" s="207" t="s">
        <v>818</v>
      </c>
      <c r="C118" s="260"/>
      <c r="D118" s="812">
        <f>+D110+D114</f>
        <v>-810.82052673700082</v>
      </c>
      <c r="E118" s="813">
        <f>+E110+E114</f>
        <v>-1682.8841725980021</v>
      </c>
      <c r="F118" s="779"/>
      <c r="G118" s="200"/>
      <c r="H118" s="224" t="s">
        <v>817</v>
      </c>
      <c r="I118" s="219"/>
      <c r="J118" s="242"/>
      <c r="AA118" s="802"/>
      <c r="BF118" s="802"/>
      <c r="BG118" s="169"/>
      <c r="BH118" s="169"/>
      <c r="BI118" s="169"/>
    </row>
    <row r="119" spans="1:61" ht="15.75" hidden="1" customHeight="1" x14ac:dyDescent="0.25">
      <c r="A119" s="163"/>
      <c r="B119" s="207" t="s">
        <v>819</v>
      </c>
      <c r="C119" s="260"/>
      <c r="D119" s="812">
        <f>+D111+D115</f>
        <v>0</v>
      </c>
      <c r="E119" s="813">
        <f>+E111+E115</f>
        <v>0</v>
      </c>
      <c r="F119" s="779"/>
      <c r="G119" s="200"/>
      <c r="H119" s="224" t="s">
        <v>817</v>
      </c>
      <c r="I119" s="219"/>
      <c r="J119" s="242"/>
      <c r="AA119" s="802"/>
      <c r="BF119" s="802"/>
      <c r="BG119" s="169"/>
      <c r="BH119" s="169"/>
      <c r="BI119" s="169"/>
    </row>
    <row r="120" spans="1:61" ht="15.75" hidden="1" customHeight="1" x14ac:dyDescent="0.25">
      <c r="A120" s="163"/>
      <c r="B120" s="259" t="s">
        <v>824</v>
      </c>
      <c r="C120" s="260"/>
      <c r="D120" s="808">
        <f>+D118+D119</f>
        <v>-810.82052673700082</v>
      </c>
      <c r="E120" s="814">
        <f>+E118+E119</f>
        <v>-1682.8841725980021</v>
      </c>
      <c r="F120" s="779"/>
      <c r="G120" s="200"/>
      <c r="H120" s="224" t="s">
        <v>817</v>
      </c>
      <c r="I120" s="219"/>
      <c r="J120" s="801">
        <f>+D120-I120</f>
        <v>-810.82052673700082</v>
      </c>
      <c r="AA120" s="802"/>
      <c r="BF120" s="802"/>
      <c r="BG120" s="169"/>
      <c r="BH120" s="169"/>
      <c r="BI120" s="169"/>
    </row>
    <row r="121" spans="1:61" ht="15.75" x14ac:dyDescent="0.25">
      <c r="A121" s="163"/>
      <c r="B121" s="233" t="s">
        <v>825</v>
      </c>
      <c r="C121" s="261"/>
      <c r="D121" s="815">
        <f>+D453</f>
        <v>-0.30506224627725231</v>
      </c>
      <c r="E121" s="816">
        <f>+E453</f>
        <v>-0.64406956732166454</v>
      </c>
      <c r="F121" s="779"/>
      <c r="G121" s="200"/>
      <c r="H121" s="801"/>
      <c r="I121" s="219"/>
      <c r="J121" s="219"/>
    </row>
    <row r="122" spans="1:61" ht="14.25" customHeight="1" x14ac:dyDescent="0.25">
      <c r="A122" s="163"/>
      <c r="B122" s="262" t="s">
        <v>826</v>
      </c>
      <c r="C122" s="263"/>
      <c r="D122" s="742">
        <f>+D459</f>
        <v>-0.30506224627725231</v>
      </c>
      <c r="E122" s="743">
        <f>+E459</f>
        <v>-0.64406956732166454</v>
      </c>
      <c r="F122" s="779"/>
      <c r="G122" s="264">
        <f>+G108*10^7</f>
        <v>0</v>
      </c>
      <c r="H122" s="224"/>
      <c r="I122" s="219"/>
      <c r="J122" s="219"/>
    </row>
    <row r="123" spans="1:61" ht="15.75" x14ac:dyDescent="0.25">
      <c r="A123" s="163"/>
      <c r="B123" s="245" t="s">
        <v>744</v>
      </c>
      <c r="C123" s="265"/>
      <c r="D123" s="817"/>
      <c r="E123" s="818"/>
      <c r="F123" s="779"/>
      <c r="G123" s="819"/>
      <c r="I123" s="219"/>
      <c r="J123" s="219"/>
    </row>
    <row r="124" spans="1:61" ht="15.75" x14ac:dyDescent="0.25">
      <c r="A124" s="163"/>
      <c r="B124" s="259" t="str">
        <f>+B61</f>
        <v>For Shah and Taparia</v>
      </c>
      <c r="C124" s="778" t="s">
        <v>746</v>
      </c>
      <c r="D124" s="807"/>
      <c r="E124" s="820"/>
      <c r="F124" s="779"/>
      <c r="G124" s="200"/>
      <c r="H124" s="821"/>
      <c r="I124" s="219"/>
      <c r="J124" s="219"/>
    </row>
    <row r="125" spans="1:61" ht="15.75" x14ac:dyDescent="0.25">
      <c r="A125" s="163"/>
      <c r="B125" s="207" t="str">
        <f>+B62</f>
        <v>Chartered Accountants</v>
      </c>
      <c r="C125" s="163"/>
      <c r="D125" s="807"/>
      <c r="E125" s="820"/>
      <c r="F125" s="779"/>
      <c r="G125" s="200"/>
      <c r="I125" s="219"/>
      <c r="J125" s="219"/>
    </row>
    <row r="126" spans="1:61" ht="15.75" x14ac:dyDescent="0.25">
      <c r="A126" s="163"/>
      <c r="B126" s="207" t="str">
        <f>+B63</f>
        <v>(FRN  - 109463W )</v>
      </c>
      <c r="C126" s="163"/>
      <c r="D126" s="807"/>
      <c r="E126" s="820"/>
      <c r="F126" s="779"/>
      <c r="G126" s="200"/>
      <c r="I126" s="266"/>
      <c r="J126" s="219"/>
    </row>
    <row r="127" spans="1:61" ht="30" customHeight="1" x14ac:dyDescent="0.25">
      <c r="A127" s="163"/>
      <c r="B127" s="207"/>
      <c r="C127" s="163"/>
      <c r="D127" s="807"/>
      <c r="E127" s="820"/>
      <c r="F127" s="779"/>
      <c r="G127" s="200"/>
      <c r="H127" s="822"/>
      <c r="I127" s="219"/>
      <c r="J127" s="219"/>
    </row>
    <row r="128" spans="1:61" ht="15.75" x14ac:dyDescent="0.25">
      <c r="A128" s="163"/>
      <c r="B128" s="207" t="str">
        <f>+B65</f>
        <v>(CA Bharat Ramesh Joshi)</v>
      </c>
      <c r="C128" s="823"/>
      <c r="F128" s="779"/>
      <c r="G128" s="200"/>
      <c r="I128" s="219"/>
      <c r="J128" s="219"/>
    </row>
    <row r="129" spans="1:64" ht="15.75" x14ac:dyDescent="0.25">
      <c r="A129" s="163"/>
      <c r="B129" s="207" t="str">
        <f>+B66</f>
        <v>Partner (ICAI M No. 130863)</v>
      </c>
      <c r="C129" s="824" t="str">
        <f>+C66</f>
        <v>Balasaheb Thite</v>
      </c>
      <c r="D129" s="807"/>
      <c r="E129" s="825" t="str">
        <f>+E66</f>
        <v>Dr. P. Anabalgan</v>
      </c>
      <c r="F129" s="585"/>
      <c r="I129" s="219"/>
      <c r="J129" s="219">
        <f>+D96+D105</f>
        <v>-1033.2001994370007</v>
      </c>
      <c r="K129" s="162" t="s">
        <v>827</v>
      </c>
    </row>
    <row r="130" spans="1:64" ht="15.75" x14ac:dyDescent="0.25">
      <c r="A130" s="163"/>
      <c r="B130" s="207"/>
      <c r="C130" s="826" t="str">
        <f>+C67</f>
        <v>Director (Finance) &amp; CFO</v>
      </c>
      <c r="D130" s="807"/>
      <c r="E130" s="827" t="str">
        <f>+E67</f>
        <v>Chairman &amp; Managing Director</v>
      </c>
      <c r="F130" s="585"/>
      <c r="I130" s="219"/>
      <c r="J130" s="219">
        <f>+D100</f>
        <v>-217.40822170348798</v>
      </c>
      <c r="K130" s="162" t="s">
        <v>828</v>
      </c>
    </row>
    <row r="131" spans="1:64" ht="15.75" x14ac:dyDescent="0.25">
      <c r="A131" s="163"/>
      <c r="B131" s="259" t="str">
        <f>+B68</f>
        <v>For Ummed Jain &amp; Co.</v>
      </c>
      <c r="C131" s="825" t="str">
        <f>C68</f>
        <v xml:space="preserve"> DIN No.08923676</v>
      </c>
      <c r="D131" s="807"/>
      <c r="E131" s="825" t="str">
        <f>+E68</f>
        <v>DIN No. 05117747</v>
      </c>
      <c r="F131" s="585"/>
      <c r="I131" s="219"/>
      <c r="J131" s="219">
        <f>+J129-J130</f>
        <v>-815.79197773351279</v>
      </c>
      <c r="K131" s="162" t="s">
        <v>829</v>
      </c>
    </row>
    <row r="132" spans="1:64" ht="15.75" x14ac:dyDescent="0.25">
      <c r="A132" s="163"/>
      <c r="B132" s="207" t="s">
        <v>747</v>
      </c>
      <c r="C132" s="163"/>
      <c r="D132" s="807"/>
      <c r="E132" s="794"/>
      <c r="F132" s="585"/>
      <c r="I132" s="219"/>
      <c r="J132" s="219"/>
    </row>
    <row r="133" spans="1:64" ht="15.75" x14ac:dyDescent="0.25">
      <c r="A133" s="163"/>
      <c r="B133" s="207" t="str">
        <f>+B70</f>
        <v>(FRN  -119250W)</v>
      </c>
      <c r="C133" s="163"/>
      <c r="D133" s="807"/>
      <c r="E133" s="794"/>
      <c r="F133" s="585"/>
      <c r="I133" s="219"/>
      <c r="J133" s="219"/>
    </row>
    <row r="134" spans="1:64" ht="15" customHeight="1" x14ac:dyDescent="0.25">
      <c r="A134" s="163"/>
      <c r="B134" s="249"/>
      <c r="C134" s="163"/>
      <c r="D134" s="807"/>
      <c r="E134" s="794"/>
      <c r="F134" s="585"/>
      <c r="I134" s="219"/>
      <c r="J134" s="219"/>
    </row>
    <row r="135" spans="1:64" ht="15" customHeight="1" x14ac:dyDescent="0.25">
      <c r="A135" s="163"/>
      <c r="B135" s="207"/>
      <c r="C135" s="782" t="str">
        <f>+C72</f>
        <v>Vijay Chitlange</v>
      </c>
      <c r="D135" s="806"/>
      <c r="E135" s="828" t="str">
        <f>+E72</f>
        <v>Rahul Dubey</v>
      </c>
      <c r="F135" s="585"/>
      <c r="I135" s="219"/>
      <c r="J135" s="219"/>
    </row>
    <row r="136" spans="1:64" ht="15" customHeight="1" x14ac:dyDescent="0.25">
      <c r="A136" s="163"/>
      <c r="B136" s="207" t="str">
        <f>B72</f>
        <v>(CA Ritu Sanghi )</v>
      </c>
      <c r="C136" s="782" t="str">
        <f>+C73</f>
        <v>Chief General Manager (A/c)</v>
      </c>
      <c r="D136" s="806"/>
      <c r="E136" s="828" t="str">
        <f>+E73</f>
        <v>Company Secretary</v>
      </c>
      <c r="F136" s="585"/>
      <c r="I136" s="219"/>
      <c r="J136" s="219"/>
    </row>
    <row r="137" spans="1:64" ht="15.75" x14ac:dyDescent="0.25">
      <c r="A137" s="163"/>
      <c r="B137" s="207" t="str">
        <f>+B73</f>
        <v>Partner (ICAI M No. 425542 )</v>
      </c>
      <c r="C137" s="300"/>
      <c r="D137" s="806"/>
      <c r="E137" s="828" t="str">
        <f>+E74</f>
        <v>M No. A14213</v>
      </c>
      <c r="F137" s="585"/>
      <c r="I137" s="219"/>
      <c r="J137" s="219"/>
    </row>
    <row r="138" spans="1:64" ht="15.75" x14ac:dyDescent="0.25">
      <c r="A138" s="163"/>
      <c r="B138" s="211" t="str">
        <f>+B74</f>
        <v>Mumbai, 12th October, 2023</v>
      </c>
      <c r="C138" s="829"/>
      <c r="D138" s="829"/>
      <c r="E138" s="830"/>
      <c r="F138" s="585"/>
      <c r="I138" s="219"/>
      <c r="J138" s="219"/>
    </row>
    <row r="139" spans="1:64" ht="18" customHeight="1" x14ac:dyDescent="0.25">
      <c r="A139" s="163"/>
      <c r="B139" s="213"/>
      <c r="C139" s="212"/>
      <c r="D139" s="831"/>
      <c r="E139" s="831"/>
      <c r="F139" s="585"/>
      <c r="BF139" s="832"/>
      <c r="BG139" s="832"/>
      <c r="BH139" s="832"/>
    </row>
    <row r="140" spans="1:64" ht="18.75" x14ac:dyDescent="0.25">
      <c r="A140" s="294"/>
      <c r="B140" s="267" t="s">
        <v>830</v>
      </c>
      <c r="C140" s="268"/>
      <c r="D140" s="833"/>
      <c r="E140" s="834" t="s">
        <v>831</v>
      </c>
      <c r="F140" s="835" t="s">
        <v>832</v>
      </c>
      <c r="BF140" s="269"/>
      <c r="BG140" s="269"/>
      <c r="BH140" s="269"/>
    </row>
    <row r="141" spans="1:64" ht="20.25" customHeight="1" x14ac:dyDescent="0.25">
      <c r="A141" s="836"/>
      <c r="B141" s="270"/>
      <c r="C141" s="271"/>
      <c r="D141" s="837" t="str">
        <f>D3</f>
        <v>31.03.2023</v>
      </c>
      <c r="E141" s="838" t="str">
        <f>E3</f>
        <v>31.03.2022</v>
      </c>
      <c r="F141" s="839" t="str">
        <f>F3</f>
        <v>01.04.2021</v>
      </c>
      <c r="G141" s="174"/>
      <c r="BF141" s="269"/>
      <c r="BG141" s="269"/>
      <c r="BH141" s="269"/>
      <c r="BI141" s="162">
        <f>+'[15]Consolidated Balancesheet &amp; P&amp;L'!I254</f>
        <v>8.2643894289999995</v>
      </c>
      <c r="BJ141" s="162">
        <f>+'[15]Consolidated Balancesheet &amp; P&amp;L'!J254</f>
        <v>8.2612394289999997</v>
      </c>
      <c r="BK141" s="186">
        <f>+BG141-BI141</f>
        <v>-8.2643894289999995</v>
      </c>
      <c r="BL141" s="186">
        <f>+BH141-BJ141</f>
        <v>-8.2612394289999997</v>
      </c>
    </row>
    <row r="142" spans="1:64" x14ac:dyDescent="0.25">
      <c r="A142" s="294">
        <v>3</v>
      </c>
      <c r="B142" s="840" t="s">
        <v>833</v>
      </c>
      <c r="C142" s="841"/>
      <c r="D142" s="842"/>
      <c r="E142" s="843"/>
      <c r="F142" s="844"/>
      <c r="G142" s="730"/>
      <c r="AB142" s="163">
        <f>+A142</f>
        <v>3</v>
      </c>
      <c r="BF142" s="269"/>
      <c r="BG142" s="269"/>
      <c r="BH142" s="269"/>
    </row>
    <row r="143" spans="1:64" ht="21" customHeight="1" x14ac:dyDescent="0.25">
      <c r="A143" s="273"/>
      <c r="B143" s="845" t="s">
        <v>834</v>
      </c>
      <c r="C143" s="823"/>
      <c r="D143" s="846"/>
      <c r="E143" s="847"/>
      <c r="F143" s="844"/>
      <c r="G143" s="730"/>
      <c r="BF143" s="848"/>
      <c r="BG143" s="848"/>
      <c r="BH143" s="848"/>
    </row>
    <row r="144" spans="1:64" x14ac:dyDescent="0.25">
      <c r="A144" s="273"/>
      <c r="B144" s="849" t="s">
        <v>835</v>
      </c>
      <c r="C144" s="823"/>
      <c r="D144" s="846"/>
      <c r="E144" s="847"/>
      <c r="F144" s="844"/>
      <c r="G144" s="730"/>
      <c r="BF144" s="169"/>
      <c r="BG144" s="169"/>
      <c r="BH144" s="169"/>
    </row>
    <row r="145" spans="1:7" ht="34.5" customHeight="1" x14ac:dyDescent="0.25">
      <c r="A145" s="273"/>
      <c r="B145" s="850" t="s">
        <v>836</v>
      </c>
      <c r="C145" s="851"/>
      <c r="D145" s="846"/>
      <c r="E145" s="847"/>
      <c r="F145" s="844"/>
      <c r="G145" s="730"/>
    </row>
    <row r="146" spans="1:7" x14ac:dyDescent="0.25">
      <c r="A146" s="273"/>
      <c r="B146" s="852" t="s">
        <v>837</v>
      </c>
      <c r="C146" s="851"/>
      <c r="D146" s="807">
        <f>'[15]Balance sheet groupings'!D118</f>
        <v>0.05</v>
      </c>
      <c r="E146" s="820">
        <f>'[15]Balance sheet groupings'!F118</f>
        <v>0.05</v>
      </c>
      <c r="F146" s="853">
        <v>0.05</v>
      </c>
      <c r="G146" s="201"/>
    </row>
    <row r="147" spans="1:7" x14ac:dyDescent="0.25">
      <c r="A147" s="273"/>
      <c r="B147" s="850"/>
      <c r="C147" s="851"/>
      <c r="D147" s="807"/>
      <c r="E147" s="820"/>
      <c r="F147" s="853"/>
      <c r="G147" s="201"/>
    </row>
    <row r="148" spans="1:7" x14ac:dyDescent="0.25">
      <c r="A148" s="273"/>
      <c r="B148" s="852" t="s">
        <v>838</v>
      </c>
      <c r="C148" s="851"/>
      <c r="D148" s="854"/>
      <c r="E148" s="855"/>
      <c r="F148" s="853"/>
      <c r="G148" s="169"/>
    </row>
    <row r="149" spans="1:7" x14ac:dyDescent="0.25">
      <c r="A149" s="273"/>
      <c r="B149" s="852" t="s">
        <v>839</v>
      </c>
      <c r="C149" s="851"/>
      <c r="D149" s="807">
        <f>'[15]Balance sheet groupings'!D119</f>
        <v>0.05</v>
      </c>
      <c r="E149" s="820">
        <f>'[15]Balance sheet groupings'!F119</f>
        <v>0.05</v>
      </c>
      <c r="F149" s="853">
        <v>0.05</v>
      </c>
      <c r="G149" s="201"/>
    </row>
    <row r="150" spans="1:7" x14ac:dyDescent="0.25">
      <c r="A150" s="273"/>
      <c r="B150" s="850"/>
      <c r="C150" s="851"/>
      <c r="D150" s="807"/>
      <c r="E150" s="820"/>
      <c r="F150" s="853"/>
      <c r="G150" s="201"/>
    </row>
    <row r="151" spans="1:7" x14ac:dyDescent="0.25">
      <c r="A151" s="273"/>
      <c r="B151" s="850" t="s">
        <v>840</v>
      </c>
      <c r="C151" s="851"/>
      <c r="D151" s="807"/>
      <c r="E151" s="820"/>
      <c r="F151" s="853"/>
      <c r="G151" s="201"/>
    </row>
    <row r="152" spans="1:7" x14ac:dyDescent="0.25">
      <c r="A152" s="273"/>
      <c r="B152" s="852" t="s">
        <v>841</v>
      </c>
      <c r="C152" s="851"/>
      <c r="D152" s="807">
        <f>'[15]Balance sheet groupings'!D120</f>
        <v>0.03</v>
      </c>
      <c r="E152" s="820">
        <f>'[15]Balance sheet groupings'!F120</f>
        <v>0.03</v>
      </c>
      <c r="F152" s="853">
        <v>0.03</v>
      </c>
      <c r="G152" s="201"/>
    </row>
    <row r="153" spans="1:7" x14ac:dyDescent="0.25">
      <c r="A153" s="273"/>
      <c r="B153" s="850"/>
      <c r="C153" s="851"/>
      <c r="D153" s="807"/>
      <c r="E153" s="820"/>
      <c r="F153" s="853"/>
      <c r="G153" s="201"/>
    </row>
    <row r="154" spans="1:7" x14ac:dyDescent="0.25">
      <c r="A154" s="273"/>
      <c r="B154" s="850" t="s">
        <v>842</v>
      </c>
      <c r="C154" s="851"/>
      <c r="D154" s="854"/>
      <c r="E154" s="855"/>
      <c r="F154" s="853"/>
      <c r="G154" s="169"/>
    </row>
    <row r="155" spans="1:7" x14ac:dyDescent="0.25">
      <c r="A155" s="273"/>
      <c r="B155" s="852" t="s">
        <v>843</v>
      </c>
      <c r="C155" s="851"/>
      <c r="D155" s="807">
        <f>'[15]Balance sheet groupings'!D121</f>
        <v>0.03</v>
      </c>
      <c r="E155" s="820">
        <f>'[15]Balance sheet groupings'!F121</f>
        <v>0.03</v>
      </c>
      <c r="F155" s="853">
        <v>0.03</v>
      </c>
      <c r="G155" s="201"/>
    </row>
    <row r="156" spans="1:7" x14ac:dyDescent="0.25">
      <c r="A156" s="273"/>
      <c r="B156" s="856"/>
      <c r="C156" s="851"/>
      <c r="D156" s="807"/>
      <c r="E156" s="820"/>
      <c r="F156" s="853"/>
      <c r="G156" s="201"/>
    </row>
    <row r="157" spans="1:7" x14ac:dyDescent="0.25">
      <c r="A157" s="273"/>
      <c r="B157" s="857" t="s">
        <v>844</v>
      </c>
      <c r="C157" s="851"/>
      <c r="D157" s="807"/>
      <c r="E157" s="820"/>
      <c r="F157" s="853"/>
      <c r="G157" s="201"/>
    </row>
    <row r="158" spans="1:7" x14ac:dyDescent="0.25">
      <c r="A158" s="273"/>
      <c r="B158" s="857" t="s">
        <v>845</v>
      </c>
      <c r="C158" s="851"/>
      <c r="D158" s="807">
        <f>+'[15]Balance sheet groupings'!D123</f>
        <v>0.52</v>
      </c>
      <c r="E158" s="820">
        <f>+'[15]Balance sheet groupings'!F123</f>
        <v>0.52</v>
      </c>
      <c r="F158" s="853">
        <v>0.52</v>
      </c>
      <c r="G158" s="201"/>
    </row>
    <row r="159" spans="1:7" x14ac:dyDescent="0.25">
      <c r="A159" s="273"/>
      <c r="B159" s="858"/>
      <c r="C159" s="851"/>
      <c r="D159" s="859"/>
      <c r="E159" s="820"/>
      <c r="F159" s="853"/>
      <c r="G159" s="201"/>
    </row>
    <row r="160" spans="1:7" ht="28.5" x14ac:dyDescent="0.25">
      <c r="A160" s="273"/>
      <c r="B160" s="850" t="s">
        <v>846</v>
      </c>
      <c r="C160" s="823"/>
      <c r="D160" s="860">
        <f>'[15]Balance sheet groupings'!D135</f>
        <v>49.574360783000003</v>
      </c>
      <c r="E160" s="861">
        <f>'[15]Balance sheet groupings'!F135</f>
        <v>49.177270882999998</v>
      </c>
      <c r="F160" s="853">
        <v>51.790989783000001</v>
      </c>
      <c r="G160" s="201"/>
    </row>
    <row r="161" spans="1:28" x14ac:dyDescent="0.25">
      <c r="A161" s="273"/>
      <c r="B161" s="850" t="s">
        <v>92</v>
      </c>
      <c r="C161" s="823"/>
      <c r="D161" s="807">
        <f>SUM(D146:D160)</f>
        <v>50.254360783000003</v>
      </c>
      <c r="E161" s="820">
        <f>SUM(E146:E160)</f>
        <v>49.857270882999998</v>
      </c>
      <c r="F161" s="853">
        <f>SUM(F146:F160)</f>
        <v>52.470989783</v>
      </c>
      <c r="G161" s="201"/>
      <c r="H161" s="201"/>
    </row>
    <row r="162" spans="1:28" ht="28.5" x14ac:dyDescent="0.25">
      <c r="A162" s="273"/>
      <c r="B162" s="850" t="s">
        <v>847</v>
      </c>
      <c r="C162" s="823"/>
      <c r="D162" s="807">
        <f>-('[15]Balance sheet groupings'!D142+'[15]Balance sheet groupings'!D148)</f>
        <v>-47.863430582999996</v>
      </c>
      <c r="E162" s="820">
        <f>-('[15]Balance sheet groupings'!F142+'[15]Balance sheet groupings'!F148)</f>
        <v>-47.565667583</v>
      </c>
      <c r="F162" s="853">
        <v>-50.363031382999999</v>
      </c>
      <c r="G162" s="201"/>
      <c r="I162" s="862"/>
    </row>
    <row r="163" spans="1:28" ht="15.75" thickBot="1" x14ac:dyDescent="0.3">
      <c r="A163" s="273"/>
      <c r="B163" s="856"/>
      <c r="C163" s="823"/>
      <c r="D163" s="863">
        <f>D161+D162</f>
        <v>2.3909302000000068</v>
      </c>
      <c r="E163" s="864">
        <f>E161+E162</f>
        <v>2.2916032999999985</v>
      </c>
      <c r="F163" s="865">
        <f>F161+F162</f>
        <v>2.1079584000000011</v>
      </c>
      <c r="G163" s="272"/>
      <c r="I163" s="866"/>
    </row>
    <row r="164" spans="1:28" ht="15.75" thickTop="1" x14ac:dyDescent="0.25">
      <c r="A164" s="273"/>
      <c r="B164" s="856"/>
      <c r="C164" s="823"/>
      <c r="D164" s="756"/>
      <c r="E164" s="867"/>
      <c r="F164" s="865"/>
      <c r="G164" s="272"/>
      <c r="I164" s="866"/>
    </row>
    <row r="165" spans="1:28" x14ac:dyDescent="0.25">
      <c r="A165" s="296" t="s">
        <v>693</v>
      </c>
      <c r="B165" s="868" t="s">
        <v>848</v>
      </c>
      <c r="C165" s="823"/>
      <c r="D165" s="756"/>
      <c r="E165" s="867"/>
      <c r="F165" s="865"/>
      <c r="G165" s="272"/>
      <c r="I165" s="866"/>
    </row>
    <row r="166" spans="1:28" x14ac:dyDescent="0.25">
      <c r="A166" s="273"/>
      <c r="B166" s="869" t="s">
        <v>513</v>
      </c>
      <c r="C166" s="823"/>
      <c r="D166" s="807">
        <f>'[15]Balance sheet groupings'!D155</f>
        <v>91.206204</v>
      </c>
      <c r="E166" s="820">
        <f>'[15]Balance sheet groupings'!F155</f>
        <v>89.062062800000007</v>
      </c>
      <c r="F166" s="853">
        <v>57.492862799999997</v>
      </c>
      <c r="G166" s="272"/>
      <c r="I166" s="866"/>
    </row>
    <row r="167" spans="1:28" ht="15.75" thickBot="1" x14ac:dyDescent="0.3">
      <c r="A167" s="273"/>
      <c r="B167" s="856"/>
      <c r="C167" s="823"/>
      <c r="D167" s="863">
        <f>D166</f>
        <v>91.206204</v>
      </c>
      <c r="E167" s="864">
        <f t="shared" ref="E167:F167" si="13">E166</f>
        <v>89.062062800000007</v>
      </c>
      <c r="F167" s="865">
        <f t="shared" si="13"/>
        <v>57.492862799999997</v>
      </c>
      <c r="G167" s="272"/>
      <c r="I167" s="866"/>
    </row>
    <row r="168" spans="1:28" ht="15.75" thickTop="1" x14ac:dyDescent="0.25">
      <c r="A168" s="273"/>
      <c r="B168" s="856"/>
      <c r="C168" s="823"/>
      <c r="D168" s="756"/>
      <c r="E168" s="867"/>
      <c r="F168" s="865"/>
      <c r="G168" s="272"/>
      <c r="I168" s="866"/>
    </row>
    <row r="169" spans="1:28" hidden="1" x14ac:dyDescent="0.25">
      <c r="A169" s="296" t="s">
        <v>849</v>
      </c>
      <c r="B169" s="868" t="s">
        <v>850</v>
      </c>
      <c r="C169" s="823"/>
      <c r="D169" s="756"/>
      <c r="E169" s="867"/>
      <c r="F169" s="865"/>
      <c r="G169" s="272"/>
      <c r="I169" s="866"/>
    </row>
    <row r="170" spans="1:28" hidden="1" x14ac:dyDescent="0.25">
      <c r="A170" s="273"/>
      <c r="B170" s="869" t="s">
        <v>851</v>
      </c>
      <c r="C170" s="823"/>
      <c r="D170" s="756">
        <f>'[15]Balance sheet groupings'!D158</f>
        <v>0</v>
      </c>
      <c r="E170" s="867">
        <f>'[15]Balance sheet groupings'!F158</f>
        <v>0</v>
      </c>
      <c r="F170" s="865"/>
      <c r="G170" s="272"/>
      <c r="I170" s="866"/>
    </row>
    <row r="171" spans="1:28" ht="15.75" hidden="1" thickBot="1" x14ac:dyDescent="0.3">
      <c r="A171" s="273"/>
      <c r="B171" s="856"/>
      <c r="C171" s="823"/>
      <c r="D171" s="863">
        <f>D170</f>
        <v>0</v>
      </c>
      <c r="E171" s="864">
        <f t="shared" ref="E171:F171" si="14">E170</f>
        <v>0</v>
      </c>
      <c r="F171" s="865">
        <f t="shared" si="14"/>
        <v>0</v>
      </c>
      <c r="G171" s="272"/>
      <c r="I171" s="866"/>
    </row>
    <row r="172" spans="1:28" x14ac:dyDescent="0.25">
      <c r="A172" s="273"/>
      <c r="B172" s="856"/>
      <c r="C172" s="823"/>
      <c r="D172" s="756"/>
      <c r="E172" s="867"/>
      <c r="F172" s="865"/>
      <c r="G172" s="272"/>
      <c r="I172" s="866"/>
    </row>
    <row r="173" spans="1:28" x14ac:dyDescent="0.25">
      <c r="A173" s="273">
        <f>+A142+1</f>
        <v>4</v>
      </c>
      <c r="B173" s="868" t="s">
        <v>852</v>
      </c>
      <c r="C173" s="823"/>
      <c r="D173" s="201"/>
      <c r="E173" s="870"/>
      <c r="F173" s="871"/>
      <c r="G173" s="201"/>
      <c r="I173" s="285"/>
      <c r="AB173" s="163">
        <f>+A173</f>
        <v>4</v>
      </c>
    </row>
    <row r="174" spans="1:28" x14ac:dyDescent="0.25">
      <c r="A174" s="273"/>
      <c r="B174" s="872" t="s">
        <v>853</v>
      </c>
      <c r="C174" s="823"/>
      <c r="D174" s="201">
        <f>'[15]Balance sheet groupings'!D172</f>
        <v>238.76932591899995</v>
      </c>
      <c r="E174" s="870">
        <f>'[15]Balance sheet groupings'!F172</f>
        <v>331.85930816000007</v>
      </c>
      <c r="F174" s="871">
        <v>254.05593094199992</v>
      </c>
      <c r="G174" s="201"/>
    </row>
    <row r="175" spans="1:28" x14ac:dyDescent="0.25">
      <c r="A175" s="273"/>
      <c r="B175" s="872" t="s">
        <v>549</v>
      </c>
      <c r="C175" s="823"/>
      <c r="D175" s="873">
        <f>'[15]Balance sheet groupings'!D173+'[15]Balance sheet groupings'!D174</f>
        <v>-238.76932591899995</v>
      </c>
      <c r="E175" s="874">
        <f>'[15]Balance sheet groupings'!F173+'[15]Balance sheet groupings'!F174</f>
        <v>-331.85930816000007</v>
      </c>
      <c r="F175" s="871">
        <v>-254.05593094199992</v>
      </c>
      <c r="G175" s="201"/>
    </row>
    <row r="176" spans="1:28" x14ac:dyDescent="0.25">
      <c r="A176" s="273"/>
      <c r="B176" s="875"/>
      <c r="C176" s="823"/>
      <c r="D176" s="201">
        <f>+D174+D175</f>
        <v>0</v>
      </c>
      <c r="E176" s="870">
        <f>+E174+E175</f>
        <v>0</v>
      </c>
      <c r="F176" s="871">
        <f>+F174+F175</f>
        <v>0</v>
      </c>
    </row>
    <row r="177" spans="1:9" x14ac:dyDescent="0.25">
      <c r="A177" s="273"/>
      <c r="B177" s="875"/>
      <c r="C177" s="823"/>
      <c r="D177" s="201"/>
      <c r="E177" s="870"/>
      <c r="F177" s="871"/>
      <c r="G177" s="201"/>
    </row>
    <row r="178" spans="1:9" x14ac:dyDescent="0.25">
      <c r="A178" s="273"/>
      <c r="B178" s="876" t="s">
        <v>506</v>
      </c>
      <c r="C178" s="823"/>
      <c r="D178" s="201">
        <f>'[15]Balance sheet groupings'!D181</f>
        <v>203.595050566</v>
      </c>
      <c r="E178" s="820">
        <f>'[15]Balance sheet groupings'!F181</f>
        <v>203.595050566</v>
      </c>
      <c r="F178" s="853">
        <v>0</v>
      </c>
      <c r="G178" s="201"/>
    </row>
    <row r="179" spans="1:9" x14ac:dyDescent="0.25">
      <c r="A179" s="273"/>
      <c r="B179" s="872" t="s">
        <v>549</v>
      </c>
      <c r="C179" s="823"/>
      <c r="D179" s="873">
        <f>'[15]Balance sheet groupings'!D182</f>
        <v>-203.595050566</v>
      </c>
      <c r="E179" s="820">
        <f>'[15]Balance sheet groupings'!F182</f>
        <v>-203.595050566</v>
      </c>
      <c r="F179" s="853">
        <v>0</v>
      </c>
      <c r="G179" s="201"/>
    </row>
    <row r="180" spans="1:9" x14ac:dyDescent="0.25">
      <c r="A180" s="273"/>
      <c r="B180" s="875"/>
      <c r="C180" s="823"/>
      <c r="D180" s="201">
        <f>D178+D179</f>
        <v>0</v>
      </c>
      <c r="E180" s="877">
        <f t="shared" ref="E180:F180" si="15">E178+E179</f>
        <v>0</v>
      </c>
      <c r="F180" s="871">
        <f t="shared" si="15"/>
        <v>0</v>
      </c>
      <c r="G180" s="201"/>
    </row>
    <row r="181" spans="1:9" x14ac:dyDescent="0.25">
      <c r="A181" s="273"/>
      <c r="B181" s="875"/>
      <c r="C181" s="823"/>
      <c r="D181" s="201"/>
      <c r="E181" s="870"/>
      <c r="F181" s="871"/>
      <c r="G181" s="201"/>
    </row>
    <row r="182" spans="1:9" x14ac:dyDescent="0.25">
      <c r="A182" s="273"/>
      <c r="B182" s="872" t="s">
        <v>854</v>
      </c>
      <c r="C182" s="823"/>
      <c r="D182" s="201">
        <f>'[15]Balance sheet groupings'!D186</f>
        <v>76.211765499999998</v>
      </c>
      <c r="E182" s="870">
        <f>'[15]Balance sheet groupings'!F186</f>
        <v>76.211765499999998</v>
      </c>
      <c r="F182" s="871">
        <v>76.211765499999998</v>
      </c>
      <c r="G182" s="201"/>
    </row>
    <row r="183" spans="1:9" x14ac:dyDescent="0.25">
      <c r="A183" s="273"/>
      <c r="B183" s="872" t="s">
        <v>549</v>
      </c>
      <c r="C183" s="823"/>
      <c r="D183" s="873">
        <f>'[15]Balance sheet groupings'!D187</f>
        <v>-76.211765499999998</v>
      </c>
      <c r="E183" s="874">
        <f>'[15]Balance sheet groupings'!F187</f>
        <v>-76.211765499999998</v>
      </c>
      <c r="F183" s="871">
        <v>-76.211765499999998</v>
      </c>
      <c r="G183" s="201"/>
    </row>
    <row r="184" spans="1:9" x14ac:dyDescent="0.25">
      <c r="A184" s="273"/>
      <c r="B184" s="878"/>
      <c r="C184" s="823"/>
      <c r="D184" s="201">
        <f>+D182+D183</f>
        <v>0</v>
      </c>
      <c r="E184" s="870">
        <f>+E182+E183</f>
        <v>0</v>
      </c>
      <c r="F184" s="871">
        <f>+F182+F183</f>
        <v>0</v>
      </c>
      <c r="G184" s="201"/>
    </row>
    <row r="185" spans="1:9" x14ac:dyDescent="0.25">
      <c r="A185" s="273"/>
      <c r="B185" s="878"/>
      <c r="C185" s="823"/>
      <c r="D185" s="272"/>
      <c r="E185" s="879"/>
      <c r="F185" s="880"/>
      <c r="G185" s="272"/>
    </row>
    <row r="186" spans="1:9" x14ac:dyDescent="0.25">
      <c r="A186" s="273"/>
      <c r="B186" s="872" t="s">
        <v>855</v>
      </c>
      <c r="C186" s="823"/>
      <c r="D186" s="201">
        <f>'[15]Balance sheet groupings'!D200</f>
        <v>296.60033398299993</v>
      </c>
      <c r="E186" s="870">
        <f>'[15]Balance sheet groupings'!F200</f>
        <v>266.77299774400035</v>
      </c>
      <c r="F186" s="871">
        <v>245.83115516399971</v>
      </c>
      <c r="G186" s="201"/>
      <c r="I186" s="285"/>
    </row>
    <row r="187" spans="1:9" x14ac:dyDescent="0.25">
      <c r="A187" s="273"/>
      <c r="B187" s="872" t="s">
        <v>501</v>
      </c>
      <c r="C187" s="823"/>
      <c r="D187" s="201">
        <f>'[15]Balance sheet groupings'!D219</f>
        <v>0</v>
      </c>
      <c r="E187" s="870">
        <f>'[15]Balance sheet groupings'!F219</f>
        <v>0.22177115499999997</v>
      </c>
      <c r="F187" s="871">
        <v>0.87869836440000004</v>
      </c>
      <c r="G187" s="201"/>
    </row>
    <row r="188" spans="1:9" x14ac:dyDescent="0.25">
      <c r="A188" s="273"/>
      <c r="B188" s="872" t="s">
        <v>856</v>
      </c>
      <c r="C188" s="823"/>
      <c r="D188" s="201">
        <f>'[15]Balance sheet groupings'!D221</f>
        <v>1.4262655</v>
      </c>
      <c r="E188" s="870">
        <f>'[15]Balance sheet groupings'!F221</f>
        <v>1.6583991</v>
      </c>
      <c r="F188" s="871">
        <v>1.1641071999999999</v>
      </c>
      <c r="G188" s="201"/>
    </row>
    <row r="189" spans="1:9" x14ac:dyDescent="0.25">
      <c r="A189" s="273"/>
      <c r="B189" s="872" t="s">
        <v>857</v>
      </c>
      <c r="C189" s="823"/>
      <c r="D189" s="201">
        <f>'[15]Balance sheet groupings'!D222</f>
        <v>323.902233663</v>
      </c>
      <c r="E189" s="870">
        <f>'[15]Balance sheet groupings'!F222</f>
        <v>163.301880963</v>
      </c>
      <c r="F189" s="871">
        <v>248.32748646300001</v>
      </c>
      <c r="G189" s="201"/>
    </row>
    <row r="190" spans="1:9" x14ac:dyDescent="0.25">
      <c r="A190" s="273"/>
      <c r="B190" s="872" t="s">
        <v>858</v>
      </c>
      <c r="C190" s="823"/>
      <c r="D190" s="201"/>
      <c r="E190" s="870"/>
      <c r="F190" s="871"/>
      <c r="G190" s="201"/>
    </row>
    <row r="191" spans="1:9" ht="15.75" thickBot="1" x14ac:dyDescent="0.3">
      <c r="A191" s="273"/>
      <c r="B191" s="872"/>
      <c r="C191" s="823"/>
      <c r="D191" s="881">
        <f>+SUM(D186:D189)+D176+D184+D180</f>
        <v>621.92883314599999</v>
      </c>
      <c r="E191" s="882">
        <f t="shared" ref="E191:F191" si="16">+SUM(E186:E189)+E176+E184+E180</f>
        <v>431.95504896200032</v>
      </c>
      <c r="F191" s="880">
        <f t="shared" si="16"/>
        <v>496.20144719139972</v>
      </c>
      <c r="G191" s="272"/>
      <c r="H191" s="883"/>
    </row>
    <row r="192" spans="1:9" ht="15.75" thickTop="1" x14ac:dyDescent="0.25">
      <c r="A192" s="273"/>
      <c r="B192" s="872"/>
      <c r="C192" s="823"/>
      <c r="D192" s="884"/>
      <c r="E192" s="885"/>
      <c r="F192" s="880"/>
      <c r="G192" s="272"/>
      <c r="H192" s="883"/>
    </row>
    <row r="193" spans="1:28" x14ac:dyDescent="0.25">
      <c r="A193" s="273">
        <v>5</v>
      </c>
      <c r="B193" s="868" t="s">
        <v>859</v>
      </c>
      <c r="C193" s="823"/>
      <c r="D193" s="201"/>
      <c r="E193" s="870"/>
      <c r="F193" s="871"/>
      <c r="G193" s="201"/>
      <c r="AB193" s="163">
        <f>+A193</f>
        <v>5</v>
      </c>
    </row>
    <row r="194" spans="1:28" x14ac:dyDescent="0.25">
      <c r="A194" s="273"/>
      <c r="B194" s="872" t="s">
        <v>860</v>
      </c>
      <c r="C194" s="823"/>
      <c r="D194" s="886">
        <f>'[15]Balance sheet groupings'!D239+'[15]Balance sheet groupings'!D255+'[15]Balance sheet groupings'!D226</f>
        <v>1193.6860641599999</v>
      </c>
      <c r="E194" s="784">
        <f>'[15]Balance sheet groupings'!F239+'[15]Balance sheet groupings'!F255+'[15]Balance sheet groupings'!F226</f>
        <v>470.037504114</v>
      </c>
      <c r="F194" s="844">
        <v>312.30380253800001</v>
      </c>
      <c r="G194" s="201"/>
      <c r="H194" s="887"/>
    </row>
    <row r="195" spans="1:28" x14ac:dyDescent="0.25">
      <c r="A195" s="273"/>
      <c r="B195" s="872" t="s">
        <v>861</v>
      </c>
      <c r="C195" s="823"/>
      <c r="D195" s="886">
        <f>'[15]Balance sheet groupings'!D245</f>
        <v>318.00257912000001</v>
      </c>
      <c r="E195" s="784">
        <f>'[15]Balance sheet groupings'!F245</f>
        <v>281.96677375699994</v>
      </c>
      <c r="F195" s="844">
        <v>182.47903989700001</v>
      </c>
      <c r="G195" s="201"/>
      <c r="H195" s="887"/>
    </row>
    <row r="196" spans="1:28" x14ac:dyDescent="0.25">
      <c r="A196" s="273"/>
      <c r="B196" s="872" t="s">
        <v>862</v>
      </c>
      <c r="C196" s="823"/>
      <c r="D196" s="886">
        <f>'[15]Balance sheet groupings'!D259</f>
        <v>64.560518199000001</v>
      </c>
      <c r="E196" s="784">
        <f>'[15]Balance sheet groupings'!E259</f>
        <v>71.890221659000005</v>
      </c>
      <c r="F196" s="844">
        <v>43.048732914000006</v>
      </c>
      <c r="G196" s="201"/>
      <c r="H196" s="887"/>
      <c r="I196" s="281"/>
    </row>
    <row r="197" spans="1:28" x14ac:dyDescent="0.25">
      <c r="A197" s="273"/>
      <c r="B197" s="872" t="s">
        <v>863</v>
      </c>
      <c r="C197" s="823"/>
      <c r="D197" s="886">
        <f>'[15]Balance sheet groupings'!D279</f>
        <v>963.87835612999993</v>
      </c>
      <c r="E197" s="784">
        <f>'[15]Balance sheet groupings'!F279</f>
        <v>856.640775813</v>
      </c>
      <c r="F197" s="844">
        <v>877.35632780999993</v>
      </c>
      <c r="G197" s="201"/>
      <c r="H197" s="887"/>
    </row>
    <row r="198" spans="1:28" hidden="1" x14ac:dyDescent="0.25">
      <c r="A198" s="273"/>
      <c r="B198" s="872" t="s">
        <v>864</v>
      </c>
      <c r="C198" s="823"/>
      <c r="D198" s="886">
        <f>'[15]Balance sheet groupings'!D253</f>
        <v>0</v>
      </c>
      <c r="E198" s="784"/>
      <c r="F198" s="844"/>
      <c r="G198" s="201"/>
      <c r="H198" s="887"/>
    </row>
    <row r="199" spans="1:28" ht="17.25" customHeight="1" x14ac:dyDescent="0.25">
      <c r="A199" s="273"/>
      <c r="B199" s="872" t="s">
        <v>865</v>
      </c>
      <c r="C199" s="823"/>
      <c r="D199" s="886">
        <f>'[15]Balance sheet groupings'!D280</f>
        <v>-385.94918471199998</v>
      </c>
      <c r="E199" s="784">
        <f>'[15]Balance sheet groupings'!F280</f>
        <v>-402.23597693099998</v>
      </c>
      <c r="F199" s="844">
        <v>-456.68006257600001</v>
      </c>
      <c r="G199" s="201"/>
      <c r="H199" s="887"/>
    </row>
    <row r="200" spans="1:28" x14ac:dyDescent="0.25">
      <c r="A200" s="273"/>
      <c r="B200" s="872" t="s">
        <v>866</v>
      </c>
      <c r="C200" s="823"/>
      <c r="D200" s="886">
        <f>'[15]Balance sheet groupings'!D281</f>
        <v>-39.395743226999997</v>
      </c>
      <c r="E200" s="784">
        <f>'[15]Balance sheet groupings'!F281</f>
        <v>-22.538118780000001</v>
      </c>
      <c r="F200" s="844">
        <v>-28.422451805000001</v>
      </c>
      <c r="G200" s="201"/>
      <c r="H200" s="887"/>
    </row>
    <row r="201" spans="1:28" ht="21.75" customHeight="1" thickBot="1" x14ac:dyDescent="0.3">
      <c r="A201" s="273"/>
      <c r="B201" s="872" t="s">
        <v>867</v>
      </c>
      <c r="C201" s="823"/>
      <c r="D201" s="888">
        <f>SUM(D194:D200)</f>
        <v>2114.7825896700001</v>
      </c>
      <c r="E201" s="889">
        <f>SUM(E194:E200)</f>
        <v>1255.7611796319995</v>
      </c>
      <c r="F201" s="890">
        <f>SUM(F194:F200)</f>
        <v>930.08538877799992</v>
      </c>
      <c r="G201" s="272"/>
      <c r="H201" s="887"/>
    </row>
    <row r="202" spans="1:28" ht="21.75" customHeight="1" thickTop="1" x14ac:dyDescent="0.25">
      <c r="A202" s="273"/>
      <c r="B202" s="872"/>
      <c r="C202" s="823"/>
      <c r="D202" s="272"/>
      <c r="E202" s="879"/>
      <c r="F202" s="891"/>
      <c r="G202" s="272"/>
      <c r="H202" s="887"/>
    </row>
    <row r="203" spans="1:28" x14ac:dyDescent="0.25">
      <c r="A203" s="273">
        <v>6</v>
      </c>
      <c r="B203" s="868" t="s">
        <v>868</v>
      </c>
      <c r="C203" s="823"/>
      <c r="D203" s="730"/>
      <c r="E203" s="892"/>
      <c r="F203" s="891"/>
      <c r="G203" s="730"/>
      <c r="K203" s="274"/>
      <c r="AB203" s="163">
        <f>+A203</f>
        <v>6</v>
      </c>
    </row>
    <row r="204" spans="1:28" x14ac:dyDescent="0.25">
      <c r="A204" s="273"/>
      <c r="B204" s="872" t="s">
        <v>869</v>
      </c>
      <c r="C204" s="823"/>
      <c r="D204" s="886">
        <f>'[15]Balance sheet groupings'!D295-D205</f>
        <v>26002.764943458002</v>
      </c>
      <c r="E204" s="784">
        <f>'[15]Balance sheet groupings'!F295-E205</f>
        <v>27231.889731275001</v>
      </c>
      <c r="F204" s="871">
        <v>24518.177985027003</v>
      </c>
      <c r="G204" s="275"/>
      <c r="H204" s="893"/>
    </row>
    <row r="205" spans="1:28" x14ac:dyDescent="0.25">
      <c r="A205" s="273"/>
      <c r="B205" s="872" t="s">
        <v>548</v>
      </c>
      <c r="C205" s="823"/>
      <c r="D205" s="886">
        <f>-D206</f>
        <v>183.68105705100001</v>
      </c>
      <c r="E205" s="784">
        <f>-E206</f>
        <v>183.68105705100001</v>
      </c>
      <c r="F205" s="894">
        <v>167.145568551</v>
      </c>
      <c r="G205" s="275"/>
    </row>
    <row r="206" spans="1:28" x14ac:dyDescent="0.25">
      <c r="A206" s="273"/>
      <c r="B206" s="872" t="s">
        <v>870</v>
      </c>
      <c r="C206" s="823"/>
      <c r="D206" s="886">
        <f>'[15]Balance sheet groupings'!D296</f>
        <v>-183.68105705100001</v>
      </c>
      <c r="E206" s="784">
        <f>'[15]Balance sheet groupings'!F296</f>
        <v>-183.68105705100001</v>
      </c>
      <c r="F206" s="894">
        <v>-167.145568551</v>
      </c>
      <c r="G206" s="275"/>
    </row>
    <row r="207" spans="1:28" x14ac:dyDescent="0.25">
      <c r="A207" s="273"/>
      <c r="B207" s="872" t="s">
        <v>529</v>
      </c>
      <c r="C207" s="823"/>
      <c r="D207" s="886">
        <f>'[15]Balance sheet groupings'!D349+'[15]Balance sheet groupings'!D350</f>
        <v>5564.6297004089993</v>
      </c>
      <c r="E207" s="784">
        <f>'[15]Balance sheet groupings'!F349+'[15]Balance sheet groupings'!F350</f>
        <v>1225.3813603120002</v>
      </c>
      <c r="F207" s="871">
        <v>2706.547026492</v>
      </c>
      <c r="G207" s="201"/>
    </row>
    <row r="208" spans="1:28" ht="15.75" thickBot="1" x14ac:dyDescent="0.3">
      <c r="A208" s="273"/>
      <c r="B208" s="872" t="s">
        <v>867</v>
      </c>
      <c r="C208" s="823"/>
      <c r="D208" s="888">
        <f t="shared" ref="D208:E208" si="17">SUM(D204:D207)</f>
        <v>31567.394643867003</v>
      </c>
      <c r="E208" s="889">
        <f t="shared" si="17"/>
        <v>28457.271091587001</v>
      </c>
      <c r="F208" s="880">
        <f>SUM(F204:F207)</f>
        <v>27224.725011519004</v>
      </c>
      <c r="G208" s="272"/>
      <c r="H208" s="895"/>
    </row>
    <row r="209" spans="1:28" ht="15.75" thickTop="1" x14ac:dyDescent="0.25">
      <c r="A209" s="273"/>
      <c r="B209" s="896" t="s">
        <v>871</v>
      </c>
      <c r="C209" s="823"/>
      <c r="D209" s="272"/>
      <c r="E209" s="879"/>
      <c r="F209" s="880"/>
      <c r="G209" s="272"/>
      <c r="H209" s="895"/>
    </row>
    <row r="210" spans="1:28" x14ac:dyDescent="0.25">
      <c r="A210" s="897"/>
      <c r="B210" s="898"/>
      <c r="C210" s="899"/>
      <c r="D210" s="900"/>
      <c r="E210" s="901"/>
      <c r="F210" s="880"/>
      <c r="G210" s="272"/>
      <c r="H210" s="895"/>
    </row>
    <row r="211" spans="1:28" x14ac:dyDescent="0.25">
      <c r="A211" s="294">
        <v>7</v>
      </c>
      <c r="B211" s="840" t="s">
        <v>872</v>
      </c>
      <c r="C211" s="902"/>
      <c r="D211" s="903"/>
      <c r="E211" s="904"/>
      <c r="F211" s="880"/>
      <c r="G211" s="201"/>
      <c r="AB211" s="163">
        <f>+A211</f>
        <v>7</v>
      </c>
    </row>
    <row r="212" spans="1:28" x14ac:dyDescent="0.25">
      <c r="A212" s="273"/>
      <c r="B212" s="872" t="s">
        <v>873</v>
      </c>
      <c r="C212" s="823"/>
      <c r="D212" s="201"/>
      <c r="E212" s="870"/>
      <c r="F212" s="871"/>
      <c r="G212" s="201"/>
    </row>
    <row r="213" spans="1:28" x14ac:dyDescent="0.25">
      <c r="A213" s="273"/>
      <c r="B213" s="872" t="s">
        <v>874</v>
      </c>
      <c r="C213" s="823"/>
      <c r="D213" s="886">
        <f>'[15]Balance sheet groupings'!D303</f>
        <v>263.66342570199998</v>
      </c>
      <c r="E213" s="784">
        <f>'[15]Balance sheet groupings'!F303</f>
        <v>11.769918049000003</v>
      </c>
      <c r="F213" s="844">
        <v>0</v>
      </c>
      <c r="G213" s="201"/>
    </row>
    <row r="214" spans="1:28" x14ac:dyDescent="0.25">
      <c r="A214" s="273"/>
      <c r="B214" s="872" t="s">
        <v>875</v>
      </c>
      <c r="C214" s="823"/>
      <c r="D214" s="886">
        <f>'[15]Balance sheet groupings'!D307</f>
        <v>0</v>
      </c>
      <c r="E214" s="784">
        <f>'[15]Balance sheet groupings'!F307</f>
        <v>0</v>
      </c>
      <c r="F214" s="844"/>
      <c r="G214" s="201"/>
    </row>
    <row r="215" spans="1:28" x14ac:dyDescent="0.25">
      <c r="A215" s="273"/>
      <c r="B215" s="872" t="s">
        <v>876</v>
      </c>
      <c r="C215" s="823"/>
      <c r="D215" s="886">
        <f>'[15]Balance sheet groupings'!D308</f>
        <v>1.4654745E-2</v>
      </c>
      <c r="E215" s="784">
        <f>'[15]Balance sheet groupings'!F308</f>
        <v>1.7346445000000002E-2</v>
      </c>
      <c r="F215" s="844">
        <v>2.1092594999999999E-2</v>
      </c>
      <c r="G215" s="201"/>
    </row>
    <row r="216" spans="1:28" ht="15.75" thickBot="1" x14ac:dyDescent="0.3">
      <c r="A216" s="273"/>
      <c r="B216" s="872" t="s">
        <v>867</v>
      </c>
      <c r="C216" s="823"/>
      <c r="D216" s="888">
        <f>+SUM(D213:D215)</f>
        <v>263.67808044699996</v>
      </c>
      <c r="E216" s="889">
        <f>+SUM(E213:E215)</f>
        <v>11.787264494000002</v>
      </c>
      <c r="F216" s="890">
        <f>+SUM(F213:F215)</f>
        <v>2.1092594999999999E-2</v>
      </c>
      <c r="G216" s="272"/>
    </row>
    <row r="217" spans="1:28" ht="15.75" thickTop="1" x14ac:dyDescent="0.25">
      <c r="A217" s="273"/>
      <c r="B217" s="872"/>
      <c r="C217" s="823"/>
      <c r="D217" s="272"/>
      <c r="E217" s="879"/>
      <c r="F217" s="880"/>
      <c r="G217" s="272"/>
    </row>
    <row r="218" spans="1:28" x14ac:dyDescent="0.25">
      <c r="A218" s="273">
        <v>8</v>
      </c>
      <c r="B218" s="868" t="s">
        <v>877</v>
      </c>
      <c r="C218" s="823"/>
      <c r="D218" s="201"/>
      <c r="E218" s="870"/>
      <c r="F218" s="871"/>
      <c r="G218" s="201"/>
      <c r="AB218" s="163">
        <f>+A218</f>
        <v>8</v>
      </c>
    </row>
    <row r="219" spans="1:28" x14ac:dyDescent="0.25">
      <c r="A219" s="273"/>
      <c r="B219" s="872" t="s">
        <v>534</v>
      </c>
      <c r="C219" s="823"/>
      <c r="D219" s="201"/>
      <c r="E219" s="870"/>
      <c r="F219" s="871"/>
      <c r="G219" s="201"/>
    </row>
    <row r="220" spans="1:28" ht="17.25" customHeight="1" x14ac:dyDescent="0.25">
      <c r="A220" s="273"/>
      <c r="B220" s="876" t="s">
        <v>536</v>
      </c>
      <c r="C220" s="823"/>
      <c r="D220" s="886">
        <f>'[15]Balance sheet groupings'!D329</f>
        <v>1.781401367</v>
      </c>
      <c r="E220" s="784">
        <f>'[15]Balance sheet groupings'!F329</f>
        <v>5.3623333400000002</v>
      </c>
      <c r="F220" s="844">
        <v>5.7716684136000005</v>
      </c>
      <c r="G220" s="201"/>
    </row>
    <row r="221" spans="1:28" ht="15" customHeight="1" x14ac:dyDescent="0.25">
      <c r="A221" s="273"/>
      <c r="B221" s="876" t="s">
        <v>878</v>
      </c>
      <c r="C221" s="823"/>
      <c r="D221" s="807">
        <f>+'[15]Balance sheet groupings'!D330</f>
        <v>0</v>
      </c>
      <c r="E221" s="820">
        <f>+'[15]Balance sheet groupings'!F330</f>
        <v>0</v>
      </c>
      <c r="F221" s="853">
        <v>0</v>
      </c>
      <c r="G221" s="201"/>
      <c r="H221" s="905"/>
    </row>
    <row r="222" spans="1:28" ht="15" customHeight="1" x14ac:dyDescent="0.25">
      <c r="A222" s="273"/>
      <c r="B222" s="876" t="s">
        <v>879</v>
      </c>
      <c r="C222" s="823"/>
      <c r="D222" s="807">
        <f>'[15]Balance sheet groupings'!D332</f>
        <v>0</v>
      </c>
      <c r="E222" s="820">
        <v>0</v>
      </c>
      <c r="F222" s="853">
        <v>0</v>
      </c>
      <c r="G222" s="201"/>
      <c r="H222" s="905"/>
    </row>
    <row r="223" spans="1:28" ht="15.75" thickBot="1" x14ac:dyDescent="0.3">
      <c r="A223" s="273"/>
      <c r="B223" s="872"/>
      <c r="C223" s="823"/>
      <c r="D223" s="881">
        <f>+SUM(D219:D222)</f>
        <v>1.781401367</v>
      </c>
      <c r="E223" s="882">
        <f>+SUM(E219:E222)</f>
        <v>5.3623333400000002</v>
      </c>
      <c r="F223" s="880">
        <f>+SUM(F219:F222)</f>
        <v>5.7716684136000005</v>
      </c>
      <c r="G223" s="272"/>
    </row>
    <row r="224" spans="1:28" ht="15.75" thickTop="1" x14ac:dyDescent="0.25">
      <c r="A224" s="273"/>
      <c r="B224" s="872"/>
      <c r="C224" s="823"/>
      <c r="D224" s="272"/>
      <c r="E224" s="879"/>
      <c r="F224" s="880"/>
      <c r="G224" s="272"/>
    </row>
    <row r="225" spans="1:28" x14ac:dyDescent="0.25">
      <c r="A225" s="273">
        <v>9</v>
      </c>
      <c r="B225" s="868" t="s">
        <v>880</v>
      </c>
      <c r="C225" s="823"/>
      <c r="D225" s="201"/>
      <c r="E225" s="870"/>
      <c r="F225" s="871"/>
      <c r="G225" s="201"/>
      <c r="AB225" s="163">
        <f>+A225</f>
        <v>9</v>
      </c>
    </row>
    <row r="226" spans="1:28" x14ac:dyDescent="0.25">
      <c r="A226" s="273"/>
      <c r="B226" s="896" t="s">
        <v>881</v>
      </c>
      <c r="C226" s="823"/>
      <c r="D226" s="201"/>
      <c r="E226" s="870"/>
      <c r="F226" s="871"/>
      <c r="G226" s="201"/>
    </row>
    <row r="227" spans="1:28" x14ac:dyDescent="0.25">
      <c r="A227" s="273"/>
      <c r="B227" s="872" t="s">
        <v>538</v>
      </c>
      <c r="C227" s="823"/>
      <c r="D227" s="886">
        <f>'[15]Balance sheet groupings'!D347</f>
        <v>3.9865038089999998</v>
      </c>
      <c r="E227" s="784">
        <f>'[15]Balance sheet groupings'!F347</f>
        <v>3.0424724009999999</v>
      </c>
      <c r="F227" s="844">
        <v>31.518240708</v>
      </c>
      <c r="G227" s="201"/>
    </row>
    <row r="228" spans="1:28" x14ac:dyDescent="0.25">
      <c r="A228" s="273"/>
      <c r="B228" s="872" t="s">
        <v>539</v>
      </c>
      <c r="C228" s="823"/>
      <c r="D228" s="886">
        <f>'[15]Balance sheet groupings'!D354</f>
        <v>27.608270213999997</v>
      </c>
      <c r="E228" s="784">
        <f>'[15]Balance sheet groupings'!F354</f>
        <v>29.005027813999998</v>
      </c>
      <c r="F228" s="844">
        <v>77.756013614999972</v>
      </c>
      <c r="G228" s="201"/>
    </row>
    <row r="229" spans="1:28" x14ac:dyDescent="0.25">
      <c r="A229" s="273"/>
      <c r="B229" s="872" t="s">
        <v>540</v>
      </c>
      <c r="C229" s="823"/>
      <c r="D229" s="886">
        <f>+'[15]Balance sheet groupings'!D356</f>
        <v>2.940679668</v>
      </c>
      <c r="E229" s="784">
        <f>+'[15]Balance sheet groupings'!F356</f>
        <v>2.0145718000000001</v>
      </c>
      <c r="F229" s="844">
        <v>0.45220129999999997</v>
      </c>
      <c r="G229" s="201"/>
    </row>
    <row r="230" spans="1:28" x14ac:dyDescent="0.25">
      <c r="A230" s="273"/>
      <c r="B230" s="872" t="s">
        <v>541</v>
      </c>
      <c r="C230" s="823"/>
      <c r="D230" s="886">
        <f>'[15]Balance sheet groupings'!D357</f>
        <v>110.951158273</v>
      </c>
      <c r="E230" s="784">
        <f>'[15]Balance sheet groupings'!F357</f>
        <v>111.33233335199999</v>
      </c>
      <c r="F230" s="844">
        <v>109.907994888</v>
      </c>
      <c r="G230" s="201"/>
    </row>
    <row r="231" spans="1:28" x14ac:dyDescent="0.25">
      <c r="A231" s="273"/>
      <c r="B231" s="872" t="s">
        <v>542</v>
      </c>
      <c r="C231" s="823"/>
      <c r="D231" s="886">
        <f>+'[15]Balance sheet groupings'!D362</f>
        <v>15.470166000000001</v>
      </c>
      <c r="E231" s="784">
        <f>+'[15]Balance sheet groupings'!F362</f>
        <v>15.886483</v>
      </c>
      <c r="F231" s="844">
        <v>15.8087278</v>
      </c>
      <c r="G231" s="201"/>
    </row>
    <row r="232" spans="1:28" x14ac:dyDescent="0.25">
      <c r="A232" s="273"/>
      <c r="B232" s="872" t="s">
        <v>543</v>
      </c>
      <c r="C232" s="823"/>
      <c r="D232" s="886">
        <f>'[15]Balance sheet groupings'!D363</f>
        <v>1.7416499999999999</v>
      </c>
      <c r="E232" s="784">
        <f>+'[15]Balance sheet groupings'!F363</f>
        <v>1.9577500000000001</v>
      </c>
      <c r="F232" s="844">
        <v>1.9577500000000001</v>
      </c>
      <c r="G232" s="201"/>
    </row>
    <row r="233" spans="1:28" ht="28.5" customHeight="1" x14ac:dyDescent="0.25">
      <c r="A233" s="273"/>
      <c r="B233" s="394" t="s">
        <v>882</v>
      </c>
      <c r="C233" s="823"/>
      <c r="D233" s="886">
        <f>+'[15]Balance sheet groupings'!D370</f>
        <v>163.70650697299999</v>
      </c>
      <c r="E233" s="784">
        <f>+'[15]Balance sheet groupings'!F370</f>
        <v>162.09706272299999</v>
      </c>
      <c r="F233" s="844">
        <v>114.85221182299999</v>
      </c>
      <c r="G233" s="201"/>
      <c r="H233" s="905"/>
    </row>
    <row r="234" spans="1:28" ht="15.75" thickBot="1" x14ac:dyDescent="0.3">
      <c r="A234" s="273"/>
      <c r="B234" s="169"/>
      <c r="C234" s="823"/>
      <c r="D234" s="888">
        <f>SUM(D227:D233)</f>
        <v>326.40493493700001</v>
      </c>
      <c r="E234" s="889">
        <f>SUM(E227:E233)</f>
        <v>325.33570108999999</v>
      </c>
      <c r="F234" s="890">
        <f>SUM(F227:F233)</f>
        <v>352.25314013399998</v>
      </c>
      <c r="G234" s="272"/>
      <c r="H234" s="905"/>
      <c r="I234" s="906"/>
    </row>
    <row r="235" spans="1:28" ht="15.75" thickTop="1" x14ac:dyDescent="0.25">
      <c r="A235" s="273"/>
      <c r="B235" s="169"/>
      <c r="C235" s="823"/>
      <c r="D235" s="272"/>
      <c r="E235" s="879"/>
      <c r="F235" s="880"/>
      <c r="G235" s="272"/>
      <c r="H235" s="905"/>
      <c r="I235" s="906"/>
    </row>
    <row r="236" spans="1:28" x14ac:dyDescent="0.25">
      <c r="A236" s="273">
        <v>10</v>
      </c>
      <c r="B236" s="868" t="s">
        <v>883</v>
      </c>
      <c r="C236" s="823"/>
      <c r="D236" s="201"/>
      <c r="E236" s="870"/>
      <c r="F236" s="871"/>
      <c r="G236" s="201"/>
      <c r="I236" s="276"/>
      <c r="J236" s="276"/>
      <c r="AB236" s="163">
        <f>+A236</f>
        <v>10</v>
      </c>
    </row>
    <row r="237" spans="1:28" x14ac:dyDescent="0.25">
      <c r="A237" s="273"/>
      <c r="B237" s="876" t="s">
        <v>546</v>
      </c>
      <c r="C237" s="823"/>
      <c r="D237" s="886">
        <f>'[15]Balance sheet groupings'!D374</f>
        <v>35.312575172000003</v>
      </c>
      <c r="E237" s="784">
        <f>'[15]Balance sheet groupings'!F374</f>
        <v>26.947556613</v>
      </c>
      <c r="F237" s="844">
        <v>37.138358910999997</v>
      </c>
      <c r="G237" s="201"/>
      <c r="H237" s="905"/>
      <c r="I237" s="276"/>
      <c r="J237" s="277"/>
      <c r="M237" s="907"/>
      <c r="P237" s="186"/>
    </row>
    <row r="238" spans="1:28" x14ac:dyDescent="0.25">
      <c r="A238" s="273"/>
      <c r="B238" s="876" t="s">
        <v>547</v>
      </c>
      <c r="C238" s="823"/>
      <c r="D238" s="886">
        <f>+'[15]Balance sheet groupings'!D377</f>
        <v>408.85345701</v>
      </c>
      <c r="E238" s="784">
        <f>+'[15]Balance sheet groupings'!F377</f>
        <v>336.00115118999997</v>
      </c>
      <c r="F238" s="844">
        <v>397.70412290200005</v>
      </c>
      <c r="G238" s="201"/>
      <c r="I238" s="276"/>
      <c r="J238" s="278"/>
      <c r="K238" s="186"/>
      <c r="M238" s="907"/>
      <c r="P238" s="186"/>
    </row>
    <row r="239" spans="1:28" x14ac:dyDescent="0.25">
      <c r="A239" s="273"/>
      <c r="B239" s="876" t="s">
        <v>506</v>
      </c>
      <c r="C239" s="823"/>
      <c r="D239" s="886">
        <f>+'[15]Balance sheet groupings'!D381</f>
        <v>461.36615917400002</v>
      </c>
      <c r="E239" s="784">
        <f>+'[15]Balance sheet groupings'!F381</f>
        <v>532.74205547299994</v>
      </c>
      <c r="F239" s="844">
        <v>417.24644516800004</v>
      </c>
      <c r="G239" s="201"/>
      <c r="I239" s="276"/>
      <c r="J239" s="279"/>
      <c r="M239" s="907"/>
      <c r="P239" s="186"/>
    </row>
    <row r="240" spans="1:28" hidden="1" x14ac:dyDescent="0.25">
      <c r="A240" s="273"/>
      <c r="B240" s="872" t="s">
        <v>549</v>
      </c>
      <c r="C240" s="823"/>
      <c r="D240" s="886">
        <f>'[15]Balance sheet groupings'!D382</f>
        <v>0</v>
      </c>
      <c r="E240" s="784">
        <f>'[15]Balance sheet groupings'!F382</f>
        <v>0</v>
      </c>
      <c r="F240" s="844">
        <v>-203.595050566</v>
      </c>
      <c r="G240" s="201"/>
      <c r="I240" s="276"/>
      <c r="J240" s="279"/>
      <c r="M240" s="907"/>
      <c r="P240" s="186"/>
    </row>
    <row r="241" spans="1:28" ht="15.95" customHeight="1" thickBot="1" x14ac:dyDescent="0.3">
      <c r="A241" s="273"/>
      <c r="B241" s="872" t="s">
        <v>867</v>
      </c>
      <c r="C241" s="823"/>
      <c r="D241" s="888">
        <f>+SUM(D237:D240)</f>
        <v>905.532191356</v>
      </c>
      <c r="E241" s="889">
        <f>+SUM(E237:E240)</f>
        <v>895.69076327599987</v>
      </c>
      <c r="F241" s="890">
        <f>+SUM(F237:F240)</f>
        <v>648.49387641500016</v>
      </c>
      <c r="G241" s="272"/>
      <c r="I241" s="276"/>
      <c r="J241" s="279"/>
      <c r="M241" s="907"/>
      <c r="P241" s="186"/>
    </row>
    <row r="242" spans="1:28" ht="15.95" customHeight="1" thickTop="1" x14ac:dyDescent="0.25">
      <c r="A242" s="897"/>
      <c r="B242" s="898"/>
      <c r="C242" s="899"/>
      <c r="D242" s="900"/>
      <c r="E242" s="901"/>
      <c r="F242" s="880"/>
      <c r="G242" s="272"/>
      <c r="I242" s="276"/>
      <c r="J242" s="279"/>
      <c r="M242" s="907"/>
      <c r="P242" s="186"/>
    </row>
    <row r="243" spans="1:28" ht="18" customHeight="1" x14ac:dyDescent="0.25">
      <c r="A243" s="294">
        <v>12</v>
      </c>
      <c r="B243" s="840" t="s">
        <v>884</v>
      </c>
      <c r="C243" s="908"/>
      <c r="D243" s="909"/>
      <c r="E243" s="910"/>
      <c r="F243" s="725"/>
      <c r="G243" s="174"/>
      <c r="I243" s="276"/>
      <c r="J243" s="276"/>
      <c r="AB243" s="163">
        <f>+A243</f>
        <v>12</v>
      </c>
    </row>
    <row r="244" spans="1:28" ht="18" customHeight="1" x14ac:dyDescent="0.25">
      <c r="A244" s="273"/>
      <c r="B244" s="875" t="s">
        <v>885</v>
      </c>
      <c r="C244" s="823"/>
      <c r="D244" s="730"/>
      <c r="E244" s="892"/>
      <c r="F244" s="891"/>
      <c r="G244" s="730"/>
      <c r="I244" s="276"/>
      <c r="J244" s="276"/>
    </row>
    <row r="245" spans="1:28" x14ac:dyDescent="0.25">
      <c r="A245" s="273"/>
      <c r="B245" s="872" t="s">
        <v>886</v>
      </c>
      <c r="C245" s="823"/>
      <c r="D245" s="886">
        <f>'[15]Balance sheet groupings'!D395+'[15]Balance sheet groupings'!D396</f>
        <v>-8223.0677860540018</v>
      </c>
      <c r="E245" s="784">
        <f>'[15]Balance sheet groupings'!F395+'[15]Balance sheet groupings'!F396</f>
        <v>-6540.1836134239993</v>
      </c>
      <c r="F245" s="844">
        <v>-6796.3388608367504</v>
      </c>
      <c r="G245" s="280"/>
      <c r="H245" s="161"/>
    </row>
    <row r="246" spans="1:28" x14ac:dyDescent="0.25">
      <c r="A246" s="273"/>
      <c r="B246" s="163" t="s">
        <v>887</v>
      </c>
      <c r="C246" s="911"/>
      <c r="D246" s="886">
        <f>+D108</f>
        <v>-810.82052673700082</v>
      </c>
      <c r="E246" s="784">
        <f>+E108</f>
        <v>-1682.8841725980021</v>
      </c>
      <c r="F246" s="844">
        <v>256.1552476902699</v>
      </c>
      <c r="G246" s="280"/>
      <c r="H246" s="161"/>
    </row>
    <row r="247" spans="1:28" hidden="1" x14ac:dyDescent="0.25">
      <c r="A247" s="273"/>
      <c r="B247" s="872" t="s">
        <v>888</v>
      </c>
      <c r="C247" s="823"/>
      <c r="D247" s="807"/>
      <c r="E247" s="820"/>
      <c r="F247" s="853"/>
      <c r="G247" s="201"/>
      <c r="H247" s="161"/>
    </row>
    <row r="248" spans="1:28" hidden="1" x14ac:dyDescent="0.25">
      <c r="A248" s="273"/>
      <c r="B248" s="872" t="s">
        <v>889</v>
      </c>
      <c r="C248" s="823"/>
      <c r="D248" s="807"/>
      <c r="E248" s="820"/>
      <c r="F248" s="853"/>
      <c r="G248" s="201"/>
      <c r="H248" s="161"/>
    </row>
    <row r="249" spans="1:28" ht="15.75" thickBot="1" x14ac:dyDescent="0.3">
      <c r="A249" s="273"/>
      <c r="B249" s="169"/>
      <c r="C249" s="823"/>
      <c r="D249" s="888">
        <f>SUM(D245:D246)</f>
        <v>-9033.888312791003</v>
      </c>
      <c r="E249" s="889">
        <f>SUM(E245:E246)</f>
        <v>-8223.0677860220021</v>
      </c>
      <c r="F249" s="890">
        <f>SUM(F245:F246)</f>
        <v>-6540.1836131464806</v>
      </c>
      <c r="G249" s="912"/>
      <c r="H249" s="178"/>
      <c r="I249" s="802"/>
      <c r="J249" s="913"/>
    </row>
    <row r="250" spans="1:28" ht="15.75" thickTop="1" x14ac:dyDescent="0.25">
      <c r="A250" s="273"/>
      <c r="B250" s="868" t="s">
        <v>890</v>
      </c>
      <c r="C250" s="823"/>
      <c r="D250" s="201"/>
      <c r="E250" s="870"/>
      <c r="F250" s="871"/>
      <c r="G250" s="201"/>
      <c r="H250" s="161"/>
    </row>
    <row r="251" spans="1:28" x14ac:dyDescent="0.25">
      <c r="A251" s="273"/>
      <c r="B251" s="872" t="s">
        <v>891</v>
      </c>
      <c r="C251" s="823"/>
      <c r="D251" s="886">
        <f>'[15]Statement of changes in equity'!B33</f>
        <v>91.14101530401723</v>
      </c>
      <c r="E251" s="784">
        <f>'[15]Balance sheet groupings'!F398</f>
        <v>468.05001187801292</v>
      </c>
      <c r="F251" s="844">
        <v>42.500008452008927</v>
      </c>
      <c r="G251" s="201"/>
      <c r="H251" s="281"/>
    </row>
    <row r="252" spans="1:28" x14ac:dyDescent="0.25">
      <c r="A252" s="273"/>
      <c r="B252" s="872"/>
      <c r="C252" s="823"/>
      <c r="D252" s="201"/>
      <c r="E252" s="870"/>
      <c r="F252" s="871"/>
      <c r="G252" s="201"/>
    </row>
    <row r="253" spans="1:28" hidden="1" x14ac:dyDescent="0.25">
      <c r="A253" s="273"/>
      <c r="B253" s="872" t="s">
        <v>892</v>
      </c>
      <c r="C253" s="823"/>
      <c r="D253" s="201"/>
      <c r="E253" s="870"/>
      <c r="F253" s="871"/>
      <c r="G253" s="201"/>
    </row>
    <row r="254" spans="1:28" hidden="1" x14ac:dyDescent="0.25">
      <c r="A254" s="273"/>
      <c r="B254" s="872" t="s">
        <v>893</v>
      </c>
      <c r="C254" s="823"/>
      <c r="D254" s="201"/>
      <c r="E254" s="870"/>
      <c r="F254" s="871"/>
      <c r="G254" s="201"/>
    </row>
    <row r="255" spans="1:28" ht="15.75" thickBot="1" x14ac:dyDescent="0.3">
      <c r="A255" s="273"/>
      <c r="B255" s="875" t="s">
        <v>894</v>
      </c>
      <c r="C255" s="823"/>
      <c r="D255" s="888">
        <f>+D249+D251+D252</f>
        <v>-8942.7472974869852</v>
      </c>
      <c r="E255" s="889">
        <f>+E249+E251+E252</f>
        <v>-7755.0177741439893</v>
      </c>
      <c r="F255" s="890">
        <f>+F249+F251+F252</f>
        <v>-6497.6836046944718</v>
      </c>
      <c r="G255" s="272"/>
    </row>
    <row r="256" spans="1:28" ht="15.75" thickTop="1" x14ac:dyDescent="0.25">
      <c r="A256" s="273"/>
      <c r="B256" s="872"/>
      <c r="C256" s="823"/>
      <c r="D256" s="201"/>
      <c r="E256" s="914"/>
      <c r="F256" s="871"/>
      <c r="G256" s="201"/>
    </row>
    <row r="257" spans="1:28" x14ac:dyDescent="0.25">
      <c r="A257" s="273">
        <v>13</v>
      </c>
      <c r="B257" s="868" t="s">
        <v>895</v>
      </c>
      <c r="C257" s="823"/>
      <c r="D257" s="201"/>
      <c r="E257" s="870"/>
      <c r="F257" s="871"/>
      <c r="G257" s="201"/>
      <c r="AB257" s="163">
        <f>+A257</f>
        <v>13</v>
      </c>
    </row>
    <row r="258" spans="1:28" x14ac:dyDescent="0.25">
      <c r="A258" s="273"/>
      <c r="B258" s="915" t="s">
        <v>896</v>
      </c>
      <c r="C258" s="823"/>
      <c r="D258" s="201"/>
      <c r="E258" s="870"/>
      <c r="F258" s="871"/>
      <c r="G258" s="201"/>
    </row>
    <row r="259" spans="1:28" x14ac:dyDescent="0.25">
      <c r="A259" s="273"/>
      <c r="B259" s="916" t="s">
        <v>897</v>
      </c>
      <c r="C259" s="823"/>
      <c r="D259" s="201"/>
      <c r="E259" s="870"/>
      <c r="F259" s="871"/>
      <c r="G259" s="201"/>
    </row>
    <row r="260" spans="1:28" ht="15" customHeight="1" x14ac:dyDescent="0.25">
      <c r="A260" s="273"/>
      <c r="B260" s="917" t="s">
        <v>898</v>
      </c>
      <c r="C260" s="823"/>
      <c r="D260" s="886">
        <f>'[15]Balance sheet groupings'!D412</f>
        <v>22955.599296597426</v>
      </c>
      <c r="E260" s="784">
        <f>'[15]Balance sheet groupings'!F412</f>
        <v>20307.063223320834</v>
      </c>
      <c r="F260" s="844">
        <v>20567.140548600011</v>
      </c>
      <c r="G260" s="201"/>
    </row>
    <row r="261" spans="1:28" x14ac:dyDescent="0.25">
      <c r="A261" s="273"/>
      <c r="B261" s="917" t="s">
        <v>899</v>
      </c>
      <c r="C261" s="823"/>
      <c r="D261" s="886">
        <f>'[15]Balance sheet groupings'!D438</f>
        <v>1315.7896163999997</v>
      </c>
      <c r="E261" s="784">
        <f>'[15]Balance sheet groupings'!F438</f>
        <v>1383.6393369</v>
      </c>
      <c r="F261" s="844">
        <v>1248.5418264</v>
      </c>
      <c r="G261" s="201"/>
    </row>
    <row r="262" spans="1:28" x14ac:dyDescent="0.25">
      <c r="A262" s="273"/>
      <c r="B262" s="916" t="s">
        <v>900</v>
      </c>
      <c r="C262" s="823"/>
      <c r="D262" s="886"/>
      <c r="E262" s="784"/>
      <c r="F262" s="844"/>
      <c r="G262" s="201"/>
    </row>
    <row r="263" spans="1:28" ht="16.5" hidden="1" customHeight="1" x14ac:dyDescent="0.25">
      <c r="A263" s="273"/>
      <c r="B263" s="917" t="s">
        <v>898</v>
      </c>
      <c r="C263" s="823"/>
      <c r="D263" s="886"/>
      <c r="E263" s="784">
        <f>'[15]Balance sheet groupings'!F441</f>
        <v>0</v>
      </c>
      <c r="F263" s="844">
        <v>0</v>
      </c>
      <c r="G263" s="201"/>
    </row>
    <row r="264" spans="1:28" ht="15" hidden="1" customHeight="1" x14ac:dyDescent="0.25">
      <c r="A264" s="273"/>
      <c r="B264" s="917" t="s">
        <v>901</v>
      </c>
      <c r="C264" s="918"/>
      <c r="D264" s="886">
        <f>SUM('[15]Balance sheet groupings'!D446)</f>
        <v>0</v>
      </c>
      <c r="E264" s="784">
        <f>SUM('[15]Balance sheet groupings'!E446)</f>
        <v>0</v>
      </c>
      <c r="F264" s="844">
        <v>0</v>
      </c>
      <c r="G264" s="201"/>
    </row>
    <row r="265" spans="1:28" x14ac:dyDescent="0.25">
      <c r="A265" s="273"/>
      <c r="B265" s="917" t="s">
        <v>902</v>
      </c>
      <c r="C265" s="918"/>
      <c r="D265" s="886">
        <f>'[15]Balance sheet groupings'!D449</f>
        <v>255.4055482</v>
      </c>
      <c r="E265" s="784">
        <f>'[15]Balance sheet groupings'!F449</f>
        <v>249.30234190000002</v>
      </c>
      <c r="F265" s="844">
        <v>254.42272699999998</v>
      </c>
      <c r="G265" s="201"/>
    </row>
    <row r="266" spans="1:28" x14ac:dyDescent="0.25">
      <c r="A266" s="273"/>
      <c r="B266" s="917" t="s">
        <v>903</v>
      </c>
      <c r="C266" s="918"/>
      <c r="D266" s="886">
        <f>'[15]Balance sheet groupings'!D453</f>
        <v>156.4779509</v>
      </c>
      <c r="E266" s="784">
        <f>'[15]Balance sheet groupings'!F453</f>
        <v>165.56232129999998</v>
      </c>
      <c r="F266" s="844">
        <v>174.19140609999999</v>
      </c>
      <c r="G266" s="201"/>
    </row>
    <row r="267" spans="1:28" x14ac:dyDescent="0.25">
      <c r="A267" s="273"/>
      <c r="B267" s="917" t="s">
        <v>904</v>
      </c>
      <c r="C267" s="918"/>
      <c r="D267" s="886">
        <f>SUM('[15]Balance sheet groupings'!D460)</f>
        <v>0</v>
      </c>
      <c r="E267" s="784">
        <f>SUM('[15]Balance sheet groupings'!F460)</f>
        <v>105.62398735799999</v>
      </c>
      <c r="F267" s="844">
        <v>207.90519219999996</v>
      </c>
      <c r="G267" s="201"/>
    </row>
    <row r="268" spans="1:28" x14ac:dyDescent="0.25">
      <c r="A268" s="273"/>
      <c r="B268" s="917" t="str">
        <f>'[15]Balance sheet groupings'!B461</f>
        <v>GOM -Central Financial Assistance</v>
      </c>
      <c r="C268" s="918"/>
      <c r="D268" s="886">
        <f>'[15]Balance sheet groupings'!D461</f>
        <v>4.0669728000000003</v>
      </c>
      <c r="E268" s="784">
        <f>'[15]Balance sheet groupings'!F461</f>
        <v>0</v>
      </c>
      <c r="F268" s="844"/>
      <c r="G268" s="201"/>
    </row>
    <row r="269" spans="1:28" ht="15.75" thickBot="1" x14ac:dyDescent="0.3">
      <c r="A269" s="273"/>
      <c r="B269" s="917"/>
      <c r="C269" s="823"/>
      <c r="D269" s="888">
        <f>SUM(D260:D268)</f>
        <v>24687.339384897426</v>
      </c>
      <c r="E269" s="889">
        <f t="shared" ref="E269:F269" si="18">SUM(E260:E268)</f>
        <v>22211.191210778834</v>
      </c>
      <c r="F269" s="890">
        <f t="shared" si="18"/>
        <v>22452.201700300011</v>
      </c>
      <c r="G269" s="169"/>
      <c r="I269" s="906"/>
    </row>
    <row r="270" spans="1:28" ht="15.75" thickTop="1" x14ac:dyDescent="0.25">
      <c r="A270" s="273"/>
      <c r="B270" s="919" t="s">
        <v>905</v>
      </c>
      <c r="C270" s="823"/>
      <c r="D270" s="920"/>
      <c r="E270" s="794"/>
      <c r="F270" s="890"/>
      <c r="G270" s="169"/>
      <c r="I270" s="906"/>
    </row>
    <row r="271" spans="1:28" x14ac:dyDescent="0.25">
      <c r="A271" s="273"/>
      <c r="B271" s="917"/>
      <c r="C271" s="823"/>
      <c r="D271" s="730"/>
      <c r="E271" s="892"/>
      <c r="F271" s="891"/>
      <c r="G271" s="282"/>
    </row>
    <row r="272" spans="1:28" x14ac:dyDescent="0.25">
      <c r="A272" s="273" t="s">
        <v>906</v>
      </c>
      <c r="B272" s="868" t="s">
        <v>907</v>
      </c>
      <c r="C272" s="823"/>
      <c r="D272" s="730"/>
      <c r="E272" s="892"/>
      <c r="F272" s="891"/>
    </row>
    <row r="273" spans="1:28" x14ac:dyDescent="0.25">
      <c r="A273" s="273"/>
      <c r="B273" s="878" t="s">
        <v>908</v>
      </c>
      <c r="C273" s="823"/>
      <c r="D273" s="886">
        <f>'[15]Balance sheet groupings'!D470</f>
        <v>2926.5594399255865</v>
      </c>
      <c r="E273" s="784">
        <f>'[15]Balance sheet groupings'!F470</f>
        <v>3069.8995987232825</v>
      </c>
      <c r="F273" s="844">
        <v>3231.2761741890199</v>
      </c>
    </row>
    <row r="274" spans="1:28" ht="15.75" thickBot="1" x14ac:dyDescent="0.3">
      <c r="A274" s="273"/>
      <c r="B274" s="917"/>
      <c r="C274" s="823"/>
      <c r="D274" s="888">
        <f>D273</f>
        <v>2926.5594399255865</v>
      </c>
      <c r="E274" s="889">
        <f t="shared" ref="E274:F274" si="19">E273</f>
        <v>3069.8995987232825</v>
      </c>
      <c r="F274" s="890">
        <f t="shared" si="19"/>
        <v>3231.2761741890199</v>
      </c>
    </row>
    <row r="275" spans="1:28" ht="15.75" thickTop="1" x14ac:dyDescent="0.25">
      <c r="A275" s="273"/>
      <c r="B275" s="917"/>
      <c r="C275" s="823"/>
      <c r="D275" s="730"/>
      <c r="E275" s="892"/>
      <c r="F275" s="891"/>
    </row>
    <row r="276" spans="1:28" x14ac:dyDescent="0.25">
      <c r="A276" s="273">
        <v>14</v>
      </c>
      <c r="B276" s="868" t="s">
        <v>909</v>
      </c>
      <c r="C276" s="823"/>
      <c r="F276" s="585"/>
      <c r="AB276" s="163">
        <f>+A276</f>
        <v>14</v>
      </c>
    </row>
    <row r="277" spans="1:28" x14ac:dyDescent="0.25">
      <c r="A277" s="273"/>
      <c r="B277" s="878" t="s">
        <v>401</v>
      </c>
      <c r="C277" s="823"/>
      <c r="D277" s="886">
        <f>'[15]Balance sheet groupings'!D473</f>
        <v>558.20255659999998</v>
      </c>
      <c r="E277" s="784">
        <f>'[15]Balance sheet groupings'!F473</f>
        <v>539.47256479999999</v>
      </c>
      <c r="F277" s="844">
        <v>518.21711459999995</v>
      </c>
      <c r="G277" s="201"/>
    </row>
    <row r="278" spans="1:28" x14ac:dyDescent="0.25">
      <c r="A278" s="273"/>
      <c r="B278" s="878" t="s">
        <v>910</v>
      </c>
      <c r="C278" s="823"/>
      <c r="D278" s="886">
        <f>'[15]Balance sheet groupings'!D474</f>
        <v>595.24605069999996</v>
      </c>
      <c r="E278" s="784">
        <f>'[15]Balance sheet groupings'!F474</f>
        <v>572.06474839999998</v>
      </c>
      <c r="F278" s="844">
        <v>544.44259339999996</v>
      </c>
      <c r="G278" s="201"/>
    </row>
    <row r="279" spans="1:28" ht="15.75" thickBot="1" x14ac:dyDescent="0.3">
      <c r="A279" s="273"/>
      <c r="B279" s="872" t="s">
        <v>867</v>
      </c>
      <c r="C279" s="823"/>
      <c r="D279" s="888">
        <f>+SUM(D277:D278)</f>
        <v>1153.4486072999998</v>
      </c>
      <c r="E279" s="889">
        <f>+SUM(E277:E278)</f>
        <v>1111.5373132</v>
      </c>
      <c r="F279" s="890">
        <f>+SUM(F277:F278)</f>
        <v>1062.6597079999999</v>
      </c>
      <c r="G279" s="272"/>
    </row>
    <row r="280" spans="1:28" ht="15.75" thickTop="1" x14ac:dyDescent="0.25">
      <c r="A280" s="897"/>
      <c r="B280" s="898"/>
      <c r="C280" s="899"/>
      <c r="D280" s="213"/>
      <c r="E280" s="921"/>
      <c r="F280" s="585"/>
    </row>
    <row r="281" spans="1:28" x14ac:dyDescent="0.25">
      <c r="A281" s="289">
        <v>16</v>
      </c>
      <c r="B281" s="922" t="s">
        <v>911</v>
      </c>
      <c r="C281" s="902"/>
      <c r="D281" s="326"/>
      <c r="E281" s="923"/>
      <c r="F281" s="585"/>
      <c r="AB281" s="163">
        <f>+A281</f>
        <v>16</v>
      </c>
    </row>
    <row r="282" spans="1:28" x14ac:dyDescent="0.25">
      <c r="A282" s="284"/>
      <c r="B282" s="924" t="s">
        <v>912</v>
      </c>
      <c r="C282" s="823"/>
      <c r="D282" s="886">
        <f>+'[15]Balance sheet groupings'!C484</f>
        <v>364.96133279999998</v>
      </c>
      <c r="E282" s="784">
        <f>'[15]Balance sheet groupings'!F484</f>
        <v>0</v>
      </c>
      <c r="F282" s="844">
        <v>0</v>
      </c>
      <c r="G282" s="201"/>
    </row>
    <row r="283" spans="1:28" hidden="1" x14ac:dyDescent="0.25">
      <c r="A283" s="284"/>
      <c r="B283" s="924" t="s">
        <v>913</v>
      </c>
      <c r="C283" s="823"/>
      <c r="D283" s="886">
        <f>+'[15]Balance sheet groupings'!C461</f>
        <v>0</v>
      </c>
      <c r="E283" s="784"/>
      <c r="F283" s="844"/>
      <c r="G283" s="201"/>
    </row>
    <row r="284" spans="1:28" x14ac:dyDescent="0.25">
      <c r="A284" s="284"/>
      <c r="B284" s="925" t="s">
        <v>914</v>
      </c>
      <c r="C284" s="823"/>
      <c r="D284" s="886">
        <f>'[15]Balance sheet groupings'!D489-'[15]Balance sheet groupings'!C484-'[15]Balance sheet groupings'!C461</f>
        <v>289.71240933900009</v>
      </c>
      <c r="E284" s="784">
        <f>'[15]Balance sheet groupings'!F489</f>
        <v>289.46240933900003</v>
      </c>
      <c r="F284" s="844">
        <v>0</v>
      </c>
      <c r="G284" s="201"/>
    </row>
    <row r="285" spans="1:28" ht="15.75" thickBot="1" x14ac:dyDescent="0.3">
      <c r="A285" s="284"/>
      <c r="B285" s="851" t="s">
        <v>867</v>
      </c>
      <c r="C285" s="823"/>
      <c r="D285" s="888">
        <f>SUM(D282:D284)</f>
        <v>654.67374213900007</v>
      </c>
      <c r="E285" s="889">
        <f>SUM(E282:E284)</f>
        <v>289.46240933900003</v>
      </c>
      <c r="F285" s="890">
        <f>SUM(F282:F284)</f>
        <v>0</v>
      </c>
      <c r="G285" s="272"/>
    </row>
    <row r="286" spans="1:28" ht="15.75" thickTop="1" x14ac:dyDescent="0.25">
      <c r="A286" s="284"/>
      <c r="B286" s="851" t="s">
        <v>867</v>
      </c>
      <c r="C286" s="823"/>
      <c r="F286" s="585"/>
    </row>
    <row r="287" spans="1:28" x14ac:dyDescent="0.25">
      <c r="A287" s="284">
        <v>17</v>
      </c>
      <c r="B287" s="926" t="s">
        <v>915</v>
      </c>
      <c r="C287" s="823"/>
      <c r="F287" s="585"/>
      <c r="AB287" s="163">
        <f>+A287</f>
        <v>17</v>
      </c>
    </row>
    <row r="288" spans="1:28" x14ac:dyDescent="0.25">
      <c r="A288" s="284"/>
      <c r="B288" s="927" t="s">
        <v>916</v>
      </c>
      <c r="C288" s="823"/>
      <c r="F288" s="585"/>
    </row>
    <row r="289" spans="1:11" x14ac:dyDescent="0.25">
      <c r="A289" s="284"/>
      <c r="B289" s="927" t="s">
        <v>917</v>
      </c>
      <c r="C289" s="823"/>
      <c r="F289" s="585"/>
    </row>
    <row r="290" spans="1:11" x14ac:dyDescent="0.25">
      <c r="A290" s="284"/>
      <c r="B290" s="927" t="s">
        <v>918</v>
      </c>
      <c r="C290" s="823"/>
      <c r="F290" s="585"/>
    </row>
    <row r="291" spans="1:11" x14ac:dyDescent="0.25">
      <c r="A291" s="284"/>
      <c r="B291" s="925" t="s">
        <v>919</v>
      </c>
      <c r="C291" s="925"/>
      <c r="D291" s="886">
        <f>'[15]Balance sheet groupings'!D520</f>
        <v>8430.3274375890014</v>
      </c>
      <c r="E291" s="784">
        <f>'[15]Balance sheet groupings'!F520</f>
        <v>7809.725008344999</v>
      </c>
      <c r="F291" s="844">
        <v>8623.9049046929995</v>
      </c>
      <c r="G291" s="201"/>
    </row>
    <row r="292" spans="1:11" hidden="1" x14ac:dyDescent="0.25">
      <c r="A292" s="284"/>
      <c r="B292" s="927"/>
      <c r="C292" s="823"/>
      <c r="D292" s="886"/>
      <c r="E292" s="784"/>
      <c r="F292" s="844"/>
      <c r="G292" s="201"/>
    </row>
    <row r="293" spans="1:11" hidden="1" x14ac:dyDescent="0.25">
      <c r="A293" s="284"/>
      <c r="B293" s="927"/>
      <c r="C293" s="823"/>
      <c r="D293" s="886"/>
      <c r="E293" s="784"/>
      <c r="F293" s="844"/>
      <c r="G293" s="201"/>
    </row>
    <row r="294" spans="1:11" x14ac:dyDescent="0.25">
      <c r="A294" s="284"/>
      <c r="B294" s="925" t="s">
        <v>920</v>
      </c>
      <c r="C294" s="823"/>
      <c r="D294" s="886">
        <f>'[15]Balance sheet groupings'!D541-D300</f>
        <v>4075.3707631999996</v>
      </c>
      <c r="E294" s="784">
        <f>'[15]Balance sheet groupings'!F541-E300</f>
        <v>1515.5027161999997</v>
      </c>
      <c r="F294" s="844">
        <v>766.31428559999995</v>
      </c>
      <c r="G294" s="201"/>
    </row>
    <row r="295" spans="1:11" hidden="1" x14ac:dyDescent="0.25">
      <c r="A295" s="284"/>
      <c r="B295" s="925"/>
      <c r="C295" s="823"/>
      <c r="D295" s="886"/>
      <c r="E295" s="784"/>
      <c r="F295" s="844"/>
      <c r="G295" s="201"/>
    </row>
    <row r="296" spans="1:11" x14ac:dyDescent="0.25">
      <c r="A296" s="284"/>
      <c r="B296" s="924" t="s">
        <v>921</v>
      </c>
      <c r="C296" s="823"/>
      <c r="D296" s="886">
        <f>'[15]Balance sheet groupings'!D542</f>
        <v>3008.6983286605678</v>
      </c>
      <c r="E296" s="784">
        <f>'[15]Balance sheet groupings'!F542</f>
        <v>3586.7015421791675</v>
      </c>
      <c r="F296" s="844">
        <v>3998.4279650999997</v>
      </c>
      <c r="G296" s="201">
        <f>D296-E296</f>
        <v>-578.00321351859975</v>
      </c>
      <c r="I296" s="161">
        <v>100</v>
      </c>
    </row>
    <row r="297" spans="1:11" hidden="1" x14ac:dyDescent="0.25">
      <c r="A297" s="284"/>
      <c r="B297" s="924"/>
      <c r="C297" s="823"/>
      <c r="D297" s="886"/>
      <c r="E297" s="784"/>
      <c r="F297" s="844"/>
      <c r="G297" s="201"/>
    </row>
    <row r="298" spans="1:11" x14ac:dyDescent="0.25">
      <c r="A298" s="284"/>
      <c r="B298" s="927" t="s">
        <v>922</v>
      </c>
      <c r="C298" s="823"/>
      <c r="D298" s="886"/>
      <c r="E298" s="784"/>
      <c r="F298" s="844"/>
      <c r="G298" s="201"/>
    </row>
    <row r="299" spans="1:11" x14ac:dyDescent="0.25">
      <c r="A299" s="284"/>
      <c r="B299" s="927" t="s">
        <v>918</v>
      </c>
      <c r="C299" s="823"/>
      <c r="D299" s="886"/>
      <c r="E299" s="784"/>
      <c r="F299" s="844"/>
      <c r="G299" s="201"/>
      <c r="H299" s="169">
        <v>1</v>
      </c>
      <c r="I299" s="161">
        <f>H299/(0+1.1)</f>
        <v>0.90909090909090906</v>
      </c>
      <c r="J299" s="161">
        <f>+I296*I299</f>
        <v>90.909090909090907</v>
      </c>
      <c r="K299" s="162">
        <f>+J299*0.1</f>
        <v>9.0909090909090917</v>
      </c>
    </row>
    <row r="300" spans="1:11" x14ac:dyDescent="0.25">
      <c r="A300" s="284"/>
      <c r="B300" s="925" t="s">
        <v>920</v>
      </c>
      <c r="C300" s="823"/>
      <c r="D300" s="886">
        <f>'[15]Rep Terms ST'!F23+'[15]Rep Terms ST'!F24</f>
        <v>137.49999869999999</v>
      </c>
      <c r="E300" s="784">
        <v>3000</v>
      </c>
      <c r="F300" s="844">
        <v>0</v>
      </c>
      <c r="G300" s="201"/>
      <c r="H300" s="169">
        <f>+I299</f>
        <v>0.90909090909090906</v>
      </c>
      <c r="I300" s="161">
        <f>H300/(0+1.1)</f>
        <v>0.82644628099173545</v>
      </c>
    </row>
    <row r="301" spans="1:11" x14ac:dyDescent="0.25">
      <c r="A301" s="284"/>
      <c r="B301" s="925" t="s">
        <v>923</v>
      </c>
      <c r="C301" s="823"/>
      <c r="D301" s="886">
        <f>'[15]Balance sheet groupings'!D564</f>
        <v>1620.8333318999998</v>
      </c>
      <c r="E301" s="784">
        <f>'[15]Balance sheet groupings'!F564</f>
        <v>1387.4999995000001</v>
      </c>
      <c r="F301" s="844">
        <v>1083.3333333999999</v>
      </c>
      <c r="G301" s="201"/>
      <c r="H301" s="169">
        <f>+I300</f>
        <v>0.82644628099173545</v>
      </c>
      <c r="I301" s="161">
        <f>H301/(0+1.1)</f>
        <v>0.75131480090157765</v>
      </c>
    </row>
    <row r="302" spans="1:11" ht="15.75" thickBot="1" x14ac:dyDescent="0.3">
      <c r="A302" s="284"/>
      <c r="B302" s="168"/>
      <c r="C302" s="823"/>
      <c r="D302" s="888">
        <f>SUM(D291:D301)</f>
        <v>17272.729860049567</v>
      </c>
      <c r="E302" s="889">
        <f>SUM(E291:E301)</f>
        <v>17299.429266224168</v>
      </c>
      <c r="F302" s="890">
        <f>SUM(F291:F301)</f>
        <v>14471.980488792999</v>
      </c>
      <c r="G302" s="272"/>
      <c r="H302" s="169">
        <f>+I301</f>
        <v>0.75131480090157765</v>
      </c>
      <c r="I302" s="161">
        <f>H302/(0+1.1)</f>
        <v>0.68301345536507052</v>
      </c>
    </row>
    <row r="303" spans="1:11" ht="15.75" thickTop="1" x14ac:dyDescent="0.25">
      <c r="A303" s="284"/>
      <c r="B303" s="919" t="s">
        <v>924</v>
      </c>
      <c r="C303" s="823"/>
      <c r="D303" s="272"/>
      <c r="E303" s="879"/>
      <c r="F303" s="880"/>
      <c r="G303" s="272"/>
    </row>
    <row r="304" spans="1:11" x14ac:dyDescent="0.25">
      <c r="A304" s="284"/>
      <c r="B304" s="168"/>
      <c r="C304" s="823"/>
      <c r="D304" s="272"/>
      <c r="E304" s="879"/>
      <c r="F304" s="880"/>
      <c r="G304" s="272"/>
    </row>
    <row r="305" spans="1:28" x14ac:dyDescent="0.25">
      <c r="A305" s="284" t="s">
        <v>925</v>
      </c>
      <c r="B305" s="926" t="s">
        <v>926</v>
      </c>
      <c r="C305" s="823"/>
      <c r="D305" s="928"/>
      <c r="E305" s="870"/>
      <c r="F305" s="891"/>
      <c r="G305" s="730"/>
      <c r="AB305" s="163" t="str">
        <f>+A305</f>
        <v>17A</v>
      </c>
    </row>
    <row r="306" spans="1:28" x14ac:dyDescent="0.25">
      <c r="A306" s="284"/>
      <c r="B306" s="924" t="s">
        <v>82</v>
      </c>
      <c r="C306" s="823"/>
      <c r="D306" s="886">
        <f>'[15]Balance sheet groupings'!D658</f>
        <v>143.34015883641359</v>
      </c>
      <c r="E306" s="784">
        <f>'[15]Balance sheet groupings'!F658</f>
        <v>161.37657508971779</v>
      </c>
      <c r="F306" s="844">
        <v>156.01503409498218</v>
      </c>
      <c r="G306" s="201"/>
      <c r="J306" s="285"/>
    </row>
    <row r="307" spans="1:28" ht="15.75" thickBot="1" x14ac:dyDescent="0.3">
      <c r="A307" s="284"/>
      <c r="B307" s="851" t="s">
        <v>867</v>
      </c>
      <c r="C307" s="823"/>
      <c r="D307" s="888">
        <f>D306</f>
        <v>143.34015883641359</v>
      </c>
      <c r="E307" s="889">
        <f t="shared" ref="E307:F307" si="20">E306</f>
        <v>161.37657508971779</v>
      </c>
      <c r="F307" s="890">
        <f t="shared" si="20"/>
        <v>156.01503409498218</v>
      </c>
      <c r="G307" s="272"/>
    </row>
    <row r="308" spans="1:28" ht="15.75" thickTop="1" x14ac:dyDescent="0.25">
      <c r="A308" s="284"/>
      <c r="B308" s="851" t="s">
        <v>867</v>
      </c>
      <c r="C308" s="823"/>
      <c r="D308" s="929"/>
      <c r="E308" s="930"/>
      <c r="F308" s="891"/>
      <c r="G308" s="730"/>
    </row>
    <row r="309" spans="1:28" x14ac:dyDescent="0.25">
      <c r="A309" s="284">
        <v>18</v>
      </c>
      <c r="B309" s="926" t="s">
        <v>927</v>
      </c>
      <c r="C309" s="823"/>
      <c r="D309" s="928"/>
      <c r="E309" s="931"/>
      <c r="F309" s="891"/>
      <c r="G309" s="730"/>
      <c r="AB309" s="163">
        <f>+A309</f>
        <v>18</v>
      </c>
    </row>
    <row r="310" spans="1:28" x14ac:dyDescent="0.25">
      <c r="A310" s="284"/>
      <c r="B310" s="924" t="s">
        <v>928</v>
      </c>
      <c r="C310" s="823"/>
      <c r="D310" s="886">
        <f>'[15]Balance sheet groupings'!D573</f>
        <v>0.21883079999999999</v>
      </c>
      <c r="E310" s="784">
        <f>'[15]Balance sheet groupings'!F573</f>
        <v>1.9636041497979999</v>
      </c>
      <c r="F310" s="844">
        <v>0</v>
      </c>
      <c r="G310" s="201"/>
      <c r="J310" s="285"/>
    </row>
    <row r="311" spans="1:28" x14ac:dyDescent="0.25">
      <c r="A311" s="284"/>
      <c r="B311" s="924" t="s">
        <v>929</v>
      </c>
      <c r="C311" s="823"/>
      <c r="D311" s="886">
        <f>'[15]Balance sheet groupings'!D629</f>
        <v>8102.969552442999</v>
      </c>
      <c r="E311" s="784">
        <f>'[15]Balance sheet groupings'!F629</f>
        <v>6651.4754589652011</v>
      </c>
      <c r="F311" s="844">
        <v>6036.5029871409979</v>
      </c>
      <c r="G311" s="201"/>
    </row>
    <row r="312" spans="1:28" ht="15.75" thickBot="1" x14ac:dyDescent="0.3">
      <c r="A312" s="284"/>
      <c r="B312" s="851" t="s">
        <v>867</v>
      </c>
      <c r="C312" s="823"/>
      <c r="D312" s="888">
        <f>+SUM(D310:D311)</f>
        <v>8103.1883832429994</v>
      </c>
      <c r="E312" s="889">
        <f>+SUM(E310:E311)</f>
        <v>6653.439063114999</v>
      </c>
      <c r="F312" s="890">
        <f>+SUM(F310:F311)</f>
        <v>6036.5029871409979</v>
      </c>
      <c r="G312" s="272"/>
    </row>
    <row r="313" spans="1:28" ht="15.75" thickTop="1" x14ac:dyDescent="0.25">
      <c r="A313" s="292"/>
      <c r="B313" s="932" t="s">
        <v>867</v>
      </c>
      <c r="C313" s="899"/>
      <c r="D313" s="933"/>
      <c r="E313" s="934"/>
      <c r="F313" s="891"/>
      <c r="G313" s="730"/>
    </row>
    <row r="314" spans="1:28" x14ac:dyDescent="0.25">
      <c r="A314" s="294">
        <v>19</v>
      </c>
      <c r="B314" s="840" t="s">
        <v>930</v>
      </c>
      <c r="C314" s="902"/>
      <c r="D314" s="935"/>
      <c r="E314" s="936"/>
      <c r="F314" s="891"/>
      <c r="G314" s="730"/>
      <c r="J314" s="162"/>
      <c r="AB314" s="163">
        <f>+A314</f>
        <v>19</v>
      </c>
    </row>
    <row r="315" spans="1:28" x14ac:dyDescent="0.25">
      <c r="A315" s="273"/>
      <c r="B315" s="876" t="s">
        <v>914</v>
      </c>
      <c r="C315" s="823"/>
      <c r="D315" s="886">
        <f>'[15]Balance sheet groupings'!D641</f>
        <v>2078.9247488449996</v>
      </c>
      <c r="E315" s="784">
        <f>'[15]Balance sheet groupings'!F641</f>
        <v>1655.376802325</v>
      </c>
      <c r="F315" s="844">
        <v>1970.945587125</v>
      </c>
      <c r="G315" s="201"/>
      <c r="K315" s="161"/>
    </row>
    <row r="316" spans="1:28" x14ac:dyDescent="0.25">
      <c r="A316" s="273"/>
      <c r="B316" s="876" t="s">
        <v>931</v>
      </c>
      <c r="C316" s="823"/>
      <c r="D316" s="886">
        <f>'[15]Balance sheet groupings'!D645</f>
        <v>221.60511809500002</v>
      </c>
      <c r="E316" s="784">
        <f>'[15]Balance sheet groupings'!F645</f>
        <v>179.81683794399999</v>
      </c>
      <c r="F316" s="844">
        <v>146.67821492900001</v>
      </c>
      <c r="G316" s="201"/>
    </row>
    <row r="317" spans="1:28" x14ac:dyDescent="0.25">
      <c r="A317" s="273"/>
      <c r="B317" s="878" t="s">
        <v>932</v>
      </c>
      <c r="C317" s="823"/>
      <c r="D317" s="886">
        <f>'[15]Balance sheet groupings'!D657</f>
        <v>107.9310807</v>
      </c>
      <c r="E317" s="784">
        <f>'[15]Balance sheet groupings'!F657</f>
        <v>198.30443490000002</v>
      </c>
      <c r="F317" s="844">
        <v>229.96131879999999</v>
      </c>
      <c r="G317" s="201"/>
    </row>
    <row r="318" spans="1:28" hidden="1" x14ac:dyDescent="0.25">
      <c r="A318" s="273"/>
      <c r="B318" s="878"/>
      <c r="C318" s="823"/>
      <c r="D318" s="886"/>
      <c r="E318" s="784"/>
      <c r="F318" s="844"/>
      <c r="G318" s="201"/>
    </row>
    <row r="319" spans="1:28" x14ac:dyDescent="0.25">
      <c r="A319" s="273"/>
      <c r="B319" s="878" t="s">
        <v>933</v>
      </c>
      <c r="C319" s="823"/>
      <c r="D319" s="886">
        <f>'[15]Balance sheet groupings'!D660</f>
        <v>109.202121408</v>
      </c>
      <c r="E319" s="784">
        <f>'[15]Balance sheet groupings'!F660</f>
        <v>113.757208968</v>
      </c>
      <c r="F319" s="844">
        <v>92.283364402000004</v>
      </c>
      <c r="G319" s="201"/>
    </row>
    <row r="320" spans="1:28" x14ac:dyDescent="0.25">
      <c r="A320" s="273"/>
      <c r="B320" s="878" t="s">
        <v>934</v>
      </c>
      <c r="C320" s="823"/>
      <c r="D320" s="886">
        <f>'[15]Balance sheet groupings'!D672</f>
        <v>845.82049583800006</v>
      </c>
      <c r="E320" s="784">
        <f>'[15]Balance sheet groupings'!F672</f>
        <v>825.53064624099989</v>
      </c>
      <c r="F320" s="844">
        <v>783.63731740799994</v>
      </c>
      <c r="G320" s="201"/>
    </row>
    <row r="321" spans="1:28" x14ac:dyDescent="0.25">
      <c r="A321" s="273"/>
      <c r="B321" s="878" t="s">
        <v>935</v>
      </c>
      <c r="C321" s="823"/>
      <c r="D321" s="886">
        <f>'[15]Balance sheet groupings'!C673</f>
        <v>223.98553004099998</v>
      </c>
      <c r="E321" s="784">
        <f>'[15]Balance sheet groupings'!E673</f>
        <v>172.41592859100001</v>
      </c>
      <c r="F321" s="844"/>
      <c r="G321" s="201"/>
    </row>
    <row r="322" spans="1:28" x14ac:dyDescent="0.25">
      <c r="A322" s="273"/>
      <c r="B322" s="878" t="s">
        <v>451</v>
      </c>
      <c r="C322" s="823"/>
      <c r="D322" s="886">
        <f>'[15]Balance sheet groupings'!C674</f>
        <v>487.7325586</v>
      </c>
      <c r="E322" s="784">
        <f>'[15]Balance sheet groupings'!E674</f>
        <v>388.24378400000001</v>
      </c>
      <c r="F322" s="844"/>
      <c r="G322" s="201"/>
    </row>
    <row r="323" spans="1:28" x14ac:dyDescent="0.25">
      <c r="A323" s="273"/>
      <c r="B323" s="878" t="s">
        <v>397</v>
      </c>
      <c r="C323" s="823"/>
      <c r="D323" s="886">
        <f>'[15]Balance sheet groupings'!D680</f>
        <v>2.5797696989999999</v>
      </c>
      <c r="E323" s="784">
        <f>'[15]Balance sheet groupings'!F680</f>
        <v>2.340666659</v>
      </c>
      <c r="F323" s="844">
        <v>791.69231489000003</v>
      </c>
      <c r="G323" s="201"/>
    </row>
    <row r="324" spans="1:28" x14ac:dyDescent="0.25">
      <c r="A324" s="273"/>
      <c r="B324" s="878" t="s">
        <v>936</v>
      </c>
      <c r="C324" s="823"/>
      <c r="D324" s="886">
        <f>'[15]Balance sheet groupings'!D708</f>
        <v>96.164346129999998</v>
      </c>
      <c r="E324" s="784">
        <f>'[15]Balance sheet groupings'!F708</f>
        <v>164.985980826</v>
      </c>
      <c r="F324" s="844">
        <v>309.30479667899994</v>
      </c>
      <c r="G324" s="201"/>
    </row>
    <row r="325" spans="1:28" ht="15.75" thickBot="1" x14ac:dyDescent="0.3">
      <c r="A325" s="273"/>
      <c r="B325" s="872" t="s">
        <v>867</v>
      </c>
      <c r="C325" s="823"/>
      <c r="D325" s="888">
        <f>+SUM(D315:D324)</f>
        <v>4173.9457693559998</v>
      </c>
      <c r="E325" s="889">
        <f>+SUM(E315:E324)</f>
        <v>3700.7722904539996</v>
      </c>
      <c r="F325" s="890">
        <f>+SUM(F315:F324)</f>
        <v>4324.5029142329995</v>
      </c>
      <c r="G325" s="272"/>
      <c r="I325" s="286"/>
    </row>
    <row r="326" spans="1:28" ht="15.75" thickTop="1" x14ac:dyDescent="0.25">
      <c r="A326" s="273"/>
      <c r="B326" s="869"/>
      <c r="C326" s="869"/>
      <c r="D326" s="869"/>
      <c r="E326" s="937"/>
      <c r="F326" s="938"/>
      <c r="G326" s="869"/>
      <c r="H326" s="286"/>
      <c r="I326" s="287"/>
    </row>
    <row r="327" spans="1:28" x14ac:dyDescent="0.25">
      <c r="A327" s="273">
        <v>20</v>
      </c>
      <c r="B327" s="939" t="s">
        <v>23</v>
      </c>
      <c r="C327" s="823"/>
      <c r="D327" s="730"/>
      <c r="E327" s="940"/>
      <c r="F327" s="891"/>
      <c r="G327" s="730"/>
      <c r="H327" s="286"/>
      <c r="I327" s="287"/>
      <c r="AB327" s="163">
        <f>+A327</f>
        <v>20</v>
      </c>
    </row>
    <row r="328" spans="1:28" x14ac:dyDescent="0.25">
      <c r="A328" s="273"/>
      <c r="B328" s="878" t="s">
        <v>937</v>
      </c>
      <c r="C328" s="823"/>
      <c r="D328" s="886">
        <f>+'[15]Balance sheet groupings'!D719</f>
        <v>81.686899999999994</v>
      </c>
      <c r="E328" s="784">
        <f>'[15]Balance sheet groupings'!F719</f>
        <v>36.905000000000001</v>
      </c>
      <c r="F328" s="844">
        <v>30</v>
      </c>
      <c r="G328" s="730"/>
      <c r="H328" s="286"/>
      <c r="I328" s="287"/>
    </row>
    <row r="329" spans="1:28" x14ac:dyDescent="0.25">
      <c r="A329" s="273"/>
      <c r="B329" s="896"/>
      <c r="C329" s="823"/>
      <c r="D329" s="730"/>
      <c r="E329" s="892"/>
      <c r="F329" s="891"/>
      <c r="G329" s="730"/>
      <c r="H329" s="286"/>
      <c r="I329" s="287"/>
    </row>
    <row r="330" spans="1:28" x14ac:dyDescent="0.25">
      <c r="A330" s="273"/>
      <c r="B330" s="896" t="s">
        <v>938</v>
      </c>
      <c r="C330" s="823"/>
      <c r="D330" s="730"/>
      <c r="E330" s="892"/>
      <c r="F330" s="585"/>
      <c r="H330" s="286"/>
      <c r="I330" s="287"/>
    </row>
    <row r="331" spans="1:28" x14ac:dyDescent="0.25">
      <c r="A331" s="273"/>
      <c r="B331" s="878" t="s">
        <v>454</v>
      </c>
      <c r="C331" s="823"/>
      <c r="D331" s="886">
        <f>'[15]Balance sheet groupings'!D734</f>
        <v>42.332451702</v>
      </c>
      <c r="E331" s="784">
        <f>'[15]Balance sheet groupings'!F734</f>
        <v>41.330191228000004</v>
      </c>
      <c r="F331" s="844">
        <v>37.794250709000003</v>
      </c>
      <c r="G331" s="201"/>
      <c r="H331" s="286"/>
      <c r="I331" s="287"/>
    </row>
    <row r="332" spans="1:28" ht="15" customHeight="1" x14ac:dyDescent="0.25">
      <c r="A332" s="273"/>
      <c r="B332" s="878" t="s">
        <v>455</v>
      </c>
      <c r="C332" s="823"/>
      <c r="D332" s="886">
        <f>'[15]Balance sheet groupings'!D740</f>
        <v>0.61250196800000001</v>
      </c>
      <c r="E332" s="784">
        <f>'[15]Balance sheet groupings'!F740</f>
        <v>0.20294429400000003</v>
      </c>
      <c r="F332" s="844">
        <v>5.1296040450000007</v>
      </c>
      <c r="G332" s="288"/>
      <c r="H332" s="286"/>
      <c r="I332" s="287"/>
    </row>
    <row r="333" spans="1:28" x14ac:dyDescent="0.25">
      <c r="A333" s="273"/>
      <c r="B333" s="878" t="s">
        <v>456</v>
      </c>
      <c r="C333" s="823"/>
      <c r="D333" s="886">
        <f>+'[15]Balance sheet groupings'!D756</f>
        <v>9.8194741000000002E-2</v>
      </c>
      <c r="E333" s="784">
        <f>+'[15]Balance sheet groupings'!F756</f>
        <v>0.106127629</v>
      </c>
      <c r="F333" s="844">
        <v>6.0825976999999996E-2</v>
      </c>
      <c r="G333" s="201"/>
    </row>
    <row r="334" spans="1:28" ht="15" customHeight="1" x14ac:dyDescent="0.25">
      <c r="A334" s="273"/>
      <c r="B334" s="878" t="s">
        <v>457</v>
      </c>
      <c r="C334" s="823"/>
      <c r="D334" s="886">
        <f>'[15]Balance sheet groupings'!D789</f>
        <v>57.491849813999998</v>
      </c>
      <c r="E334" s="784">
        <f>'[15]Balance sheet groupings'!F789</f>
        <v>34.958485046999996</v>
      </c>
      <c r="F334" s="844">
        <v>34.346966387000009</v>
      </c>
      <c r="G334" s="288"/>
    </row>
    <row r="335" spans="1:28" ht="15" customHeight="1" x14ac:dyDescent="0.25">
      <c r="A335" s="273"/>
      <c r="B335" s="878" t="s">
        <v>458</v>
      </c>
      <c r="C335" s="823"/>
      <c r="D335" s="886">
        <f>'[15]Balance sheet groupings'!D793</f>
        <v>0.13512250000000001</v>
      </c>
      <c r="E335" s="784">
        <f>'[15]Balance sheet groupings'!F793</f>
        <v>0.12963820000000001</v>
      </c>
      <c r="F335" s="844">
        <v>8.8168200000000002E-2</v>
      </c>
      <c r="G335" s="288"/>
    </row>
    <row r="336" spans="1:28" ht="15" customHeight="1" x14ac:dyDescent="0.25">
      <c r="A336" s="273"/>
      <c r="B336" s="896"/>
      <c r="C336" s="823"/>
      <c r="D336" s="201"/>
      <c r="E336" s="870"/>
      <c r="F336" s="941"/>
      <c r="G336" s="288"/>
    </row>
    <row r="337" spans="1:28" ht="15.75" thickBot="1" x14ac:dyDescent="0.3">
      <c r="A337" s="273"/>
      <c r="B337" s="872" t="s">
        <v>867</v>
      </c>
      <c r="C337" s="823"/>
      <c r="D337" s="888">
        <f>+SUM(D328:D336)</f>
        <v>182.35702072499998</v>
      </c>
      <c r="E337" s="889">
        <f t="shared" ref="E337:F337" si="21">+SUM(E328:E336)</f>
        <v>113.63238639800001</v>
      </c>
      <c r="F337" s="890">
        <f t="shared" si="21"/>
        <v>107.41981531800002</v>
      </c>
      <c r="G337" s="272"/>
    </row>
    <row r="338" spans="1:28" ht="15.75" thickTop="1" x14ac:dyDescent="0.25">
      <c r="A338" s="273"/>
      <c r="B338" s="872"/>
      <c r="C338" s="823"/>
      <c r="D338" s="730"/>
      <c r="E338" s="892"/>
      <c r="F338" s="585"/>
    </row>
    <row r="339" spans="1:28" x14ac:dyDescent="0.25">
      <c r="A339" s="273">
        <v>21</v>
      </c>
      <c r="B339" s="868" t="s">
        <v>939</v>
      </c>
      <c r="C339" s="823"/>
      <c r="D339" s="730"/>
      <c r="E339" s="892"/>
      <c r="F339" s="585"/>
      <c r="AB339" s="163">
        <f>+A339</f>
        <v>21</v>
      </c>
    </row>
    <row r="340" spans="1:28" x14ac:dyDescent="0.25">
      <c r="A340" s="273"/>
      <c r="B340" s="878" t="s">
        <v>401</v>
      </c>
      <c r="C340" s="823"/>
      <c r="D340" s="886">
        <f>'[15]Balance sheet groupings'!D798</f>
        <v>97.033344397000064</v>
      </c>
      <c r="E340" s="784">
        <f>'[15]Balance sheet groupings'!F798</f>
        <v>118.53987642799996</v>
      </c>
      <c r="F340" s="844">
        <v>109.6076456080001</v>
      </c>
      <c r="G340" s="201"/>
    </row>
    <row r="341" spans="1:28" x14ac:dyDescent="0.25">
      <c r="A341" s="273"/>
      <c r="B341" s="878" t="s">
        <v>910</v>
      </c>
      <c r="C341" s="823"/>
      <c r="D341" s="886">
        <f>'[15]Balance sheet groupings'!D799</f>
        <v>142.04039931199998</v>
      </c>
      <c r="E341" s="784">
        <f>'[15]Balance sheet groupings'!F799</f>
        <v>146.68159984199997</v>
      </c>
      <c r="F341" s="844">
        <v>138.48996480200003</v>
      </c>
      <c r="G341" s="201"/>
    </row>
    <row r="342" spans="1:28" ht="15.75" thickBot="1" x14ac:dyDescent="0.3">
      <c r="A342" s="273"/>
      <c r="B342" s="872" t="s">
        <v>867</v>
      </c>
      <c r="C342" s="823"/>
      <c r="D342" s="888">
        <f>+SUM(D340:D341)</f>
        <v>239.07374370900004</v>
      </c>
      <c r="E342" s="889">
        <f>+SUM(E340:E341)</f>
        <v>265.22147626999993</v>
      </c>
      <c r="F342" s="890">
        <f>+SUM(F340:F341)</f>
        <v>248.09761041000013</v>
      </c>
      <c r="G342" s="272"/>
    </row>
    <row r="343" spans="1:28" ht="15.75" thickTop="1" x14ac:dyDescent="0.25">
      <c r="A343" s="897"/>
      <c r="B343" s="898"/>
      <c r="C343" s="899"/>
      <c r="D343" s="873"/>
      <c r="E343" s="942"/>
      <c r="F343" s="871"/>
      <c r="G343" s="201"/>
    </row>
    <row r="344" spans="1:28" ht="16.5" customHeight="1" thickBot="1" x14ac:dyDescent="0.3">
      <c r="A344" s="289"/>
      <c r="B344" s="943" t="s">
        <v>940</v>
      </c>
      <c r="C344" s="943"/>
      <c r="D344" s="943"/>
      <c r="E344" s="944" t="s">
        <v>941</v>
      </c>
      <c r="F344" s="585"/>
    </row>
    <row r="345" spans="1:28" x14ac:dyDescent="0.25">
      <c r="A345" s="289"/>
      <c r="B345" s="945"/>
      <c r="C345" s="946"/>
      <c r="D345" s="947" t="str">
        <f>+D78</f>
        <v>2022-23</v>
      </c>
      <c r="E345" s="948" t="str">
        <f>+E78</f>
        <v>2021-22</v>
      </c>
      <c r="F345" s="585"/>
    </row>
    <row r="346" spans="1:28" x14ac:dyDescent="0.25">
      <c r="A346" s="289">
        <v>22</v>
      </c>
      <c r="B346" s="949" t="s">
        <v>942</v>
      </c>
      <c r="C346" s="823"/>
      <c r="D346" s="928"/>
      <c r="E346" s="930"/>
      <c r="F346" s="585"/>
      <c r="AB346" s="163">
        <f>+A346</f>
        <v>22</v>
      </c>
    </row>
    <row r="347" spans="1:28" ht="15.75" customHeight="1" x14ac:dyDescent="0.25">
      <c r="A347" s="284"/>
      <c r="B347" s="950" t="s">
        <v>943</v>
      </c>
      <c r="C347" s="823"/>
      <c r="D347" s="886">
        <f>'[15]Profit &amp; Loss Grouping'!E23-D348</f>
        <v>24105.460510142002</v>
      </c>
      <c r="E347" s="784">
        <f>'[15]Profit &amp; Loss Grouping'!G23-E348</f>
        <v>21937.036102450002</v>
      </c>
      <c r="F347" s="585"/>
    </row>
    <row r="348" spans="1:28" ht="15.75" customHeight="1" x14ac:dyDescent="0.25">
      <c r="A348" s="284"/>
      <c r="B348" s="951" t="s">
        <v>554</v>
      </c>
      <c r="C348" s="823"/>
      <c r="D348" s="886">
        <f>'[15]Profit &amp; Loss Grouping'!D18</f>
        <v>4782.3322485070003</v>
      </c>
      <c r="E348" s="784">
        <f>'[15]Profit &amp; Loss Grouping'!F18</f>
        <v>13.991143697999998</v>
      </c>
      <c r="F348" s="585"/>
    </row>
    <row r="349" spans="1:28" ht="15.75" thickBot="1" x14ac:dyDescent="0.3">
      <c r="A349" s="284"/>
      <c r="B349" s="168" t="s">
        <v>867</v>
      </c>
      <c r="C349" s="823"/>
      <c r="D349" s="888">
        <f>SUM(D347:D348)</f>
        <v>28887.792758649004</v>
      </c>
      <c r="E349" s="889">
        <f>SUM(E347:E348)</f>
        <v>21951.027246148002</v>
      </c>
      <c r="F349" s="585"/>
    </row>
    <row r="350" spans="1:28" ht="21" customHeight="1" thickTop="1" x14ac:dyDescent="0.25">
      <c r="A350" s="284">
        <v>23</v>
      </c>
      <c r="B350" s="949" t="s">
        <v>944</v>
      </c>
      <c r="C350" s="823"/>
      <c r="D350" s="928"/>
      <c r="E350" s="931"/>
      <c r="F350" s="585"/>
      <c r="AB350" s="163">
        <f>+A350</f>
        <v>23</v>
      </c>
    </row>
    <row r="351" spans="1:28" x14ac:dyDescent="0.25">
      <c r="A351" s="284"/>
      <c r="B351" s="924"/>
      <c r="C351" s="823"/>
      <c r="D351" s="952"/>
      <c r="E351" s="953"/>
      <c r="F351" s="585"/>
    </row>
    <row r="352" spans="1:28" x14ac:dyDescent="0.25">
      <c r="A352" s="284"/>
      <c r="B352" s="924" t="s">
        <v>556</v>
      </c>
      <c r="C352" s="823"/>
      <c r="D352" s="886">
        <f>'[15]Profit &amp; Loss Grouping'!E28</f>
        <v>117.87754211099998</v>
      </c>
      <c r="E352" s="784">
        <f>'[15]Profit &amp; Loss Grouping'!G28</f>
        <v>51.313423444000001</v>
      </c>
      <c r="F352" s="585"/>
    </row>
    <row r="353" spans="1:28" x14ac:dyDescent="0.25">
      <c r="A353" s="284"/>
      <c r="B353" s="924" t="s">
        <v>557</v>
      </c>
      <c r="C353" s="823"/>
      <c r="D353" s="886">
        <f>'[15]Profit &amp; Loss Grouping'!E29</f>
        <v>1.536765613</v>
      </c>
      <c r="E353" s="784">
        <f>'[15]Profit &amp; Loss Grouping'!G29</f>
        <v>0</v>
      </c>
      <c r="F353" s="585"/>
    </row>
    <row r="354" spans="1:28" x14ac:dyDescent="0.25">
      <c r="A354" s="284"/>
      <c r="B354" s="924" t="s">
        <v>558</v>
      </c>
      <c r="C354" s="823"/>
      <c r="D354" s="886">
        <f>+'[15]Profit &amp; Loss Grouping'!E30</f>
        <v>116.40306378199999</v>
      </c>
      <c r="E354" s="784">
        <f>+'[15]Profit &amp; Loss Grouping'!G30</f>
        <v>181.65357375799999</v>
      </c>
      <c r="F354" s="585"/>
    </row>
    <row r="355" spans="1:28" x14ac:dyDescent="0.25">
      <c r="A355" s="284"/>
      <c r="B355" s="924" t="s">
        <v>945</v>
      </c>
      <c r="C355" s="823"/>
      <c r="D355" s="886">
        <f>'[15]Profit &amp; Loss Grouping'!E32-D356</f>
        <v>70.288144208000006</v>
      </c>
      <c r="E355" s="784">
        <f>'[15]Profit &amp; Loss Grouping'!G32-E356</f>
        <v>46.843993695000002</v>
      </c>
      <c r="F355" s="585"/>
    </row>
    <row r="356" spans="1:28" x14ac:dyDescent="0.25">
      <c r="A356" s="284"/>
      <c r="B356" s="924" t="s">
        <v>560</v>
      </c>
      <c r="C356" s="823"/>
      <c r="D356" s="886">
        <v>-70.288144208000006</v>
      </c>
      <c r="E356" s="784">
        <v>-46.843993695000002</v>
      </c>
      <c r="F356" s="585"/>
    </row>
    <row r="357" spans="1:28" ht="15.75" thickBot="1" x14ac:dyDescent="0.3">
      <c r="A357" s="284"/>
      <c r="B357" s="168" t="s">
        <v>867</v>
      </c>
      <c r="C357" s="823"/>
      <c r="D357" s="888">
        <f>SUM(D351:D356)</f>
        <v>235.81737150599997</v>
      </c>
      <c r="E357" s="889">
        <f>SUM(E351:E356)</f>
        <v>232.96699720200002</v>
      </c>
      <c r="F357" s="585"/>
      <c r="J357" s="161">
        <f>+E357-I357</f>
        <v>232.96699720200002</v>
      </c>
    </row>
    <row r="358" spans="1:28" ht="15.75" thickTop="1" x14ac:dyDescent="0.25">
      <c r="A358" s="284">
        <v>24</v>
      </c>
      <c r="B358" s="949" t="s">
        <v>946</v>
      </c>
      <c r="C358" s="823"/>
      <c r="D358" s="201"/>
      <c r="E358" s="870"/>
      <c r="F358" s="585"/>
      <c r="AB358" s="163">
        <f>+A358</f>
        <v>24</v>
      </c>
    </row>
    <row r="359" spans="1:28" ht="15" customHeight="1" x14ac:dyDescent="0.25">
      <c r="A359" s="284"/>
      <c r="B359" s="927" t="s">
        <v>947</v>
      </c>
      <c r="C359" s="823"/>
      <c r="D359" s="201"/>
      <c r="E359" s="870"/>
      <c r="F359" s="585"/>
    </row>
    <row r="360" spans="1:28" x14ac:dyDescent="0.25">
      <c r="A360" s="284"/>
      <c r="B360" s="924" t="s">
        <v>948</v>
      </c>
      <c r="C360" s="823"/>
      <c r="D360" s="886">
        <f>'[15]Profit &amp; Loss Grouping'!E42</f>
        <v>0.22902478000000004</v>
      </c>
      <c r="E360" s="784">
        <f>'[15]Profit &amp; Loss Grouping'!G42</f>
        <v>0.16887729600000001</v>
      </c>
      <c r="F360" s="585"/>
    </row>
    <row r="361" spans="1:28" ht="15" hidden="1" customHeight="1" x14ac:dyDescent="0.25">
      <c r="A361" s="284"/>
      <c r="B361" s="924" t="s">
        <v>949</v>
      </c>
      <c r="C361" s="823"/>
      <c r="D361" s="952"/>
      <c r="E361" s="953"/>
      <c r="F361" s="585"/>
    </row>
    <row r="362" spans="1:28" ht="15" hidden="1" customHeight="1" x14ac:dyDescent="0.25">
      <c r="A362" s="284"/>
      <c r="B362" s="924" t="s">
        <v>950</v>
      </c>
      <c r="C362" s="823"/>
      <c r="D362" s="952"/>
      <c r="E362" s="953"/>
      <c r="F362" s="585"/>
    </row>
    <row r="363" spans="1:28" ht="15" hidden="1" customHeight="1" x14ac:dyDescent="0.25">
      <c r="A363" s="284"/>
      <c r="B363" s="924"/>
      <c r="C363" s="823"/>
      <c r="D363" s="952"/>
      <c r="E363" s="953"/>
      <c r="F363" s="585"/>
    </row>
    <row r="364" spans="1:28" ht="15" hidden="1" customHeight="1" x14ac:dyDescent="0.25">
      <c r="A364" s="284"/>
      <c r="B364" s="924"/>
      <c r="C364" s="823"/>
      <c r="D364" s="952"/>
      <c r="E364" s="953"/>
      <c r="F364" s="585"/>
    </row>
    <row r="365" spans="1:28" x14ac:dyDescent="0.25">
      <c r="A365" s="284"/>
      <c r="B365" s="954" t="s">
        <v>867</v>
      </c>
      <c r="C365" s="955"/>
      <c r="D365" s="956">
        <f>SUM(D360:D364)</f>
        <v>0.22902478000000004</v>
      </c>
      <c r="E365" s="804">
        <f>SUM(E360:E364)</f>
        <v>0.16887729600000001</v>
      </c>
      <c r="F365" s="585"/>
    </row>
    <row r="366" spans="1:28" x14ac:dyDescent="0.25">
      <c r="A366" s="284"/>
      <c r="B366" s="924" t="s">
        <v>951</v>
      </c>
      <c r="C366" s="955"/>
      <c r="D366" s="886">
        <f>'[15]Profit &amp; Loss Grouping'!E27</f>
        <v>3949.250313</v>
      </c>
      <c r="E366" s="784">
        <f>'[15]Profit &amp; Loss Grouping'!G27</f>
        <v>1108.1559973000001</v>
      </c>
      <c r="F366" s="957"/>
    </row>
    <row r="367" spans="1:28" x14ac:dyDescent="0.25">
      <c r="A367" s="284"/>
      <c r="B367" s="924" t="s">
        <v>565</v>
      </c>
      <c r="C367" s="823"/>
      <c r="D367" s="886">
        <f>'[15]Profit &amp; Loss Grouping'!E52</f>
        <v>4.4345818419999992</v>
      </c>
      <c r="E367" s="784">
        <f>'[15]Profit &amp; Loss Grouping'!G52</f>
        <v>4.8582276289999999</v>
      </c>
      <c r="F367" s="891"/>
      <c r="G367" s="730"/>
      <c r="I367" s="290"/>
    </row>
    <row r="368" spans="1:28" x14ac:dyDescent="0.25">
      <c r="A368" s="284"/>
      <c r="B368" s="924" t="s">
        <v>952</v>
      </c>
      <c r="C368" s="823"/>
      <c r="D368" s="886">
        <f>'[15]Profit &amp; Loss Grouping'!E61</f>
        <v>31.438449506999998</v>
      </c>
      <c r="E368" s="784">
        <f>'[15]Profit &amp; Loss Grouping'!G61</f>
        <v>73.772604280999985</v>
      </c>
      <c r="F368" s="585"/>
    </row>
    <row r="369" spans="1:28" x14ac:dyDescent="0.25">
      <c r="A369" s="284"/>
      <c r="B369" s="924" t="s">
        <v>567</v>
      </c>
      <c r="C369" s="823"/>
      <c r="D369" s="886">
        <f>'[15]Profit &amp; Loss Grouping'!E64</f>
        <v>5.0000000000000001E-3</v>
      </c>
      <c r="E369" s="784">
        <f>'[15]Profit &amp; Loss Grouping'!G64</f>
        <v>2.5100000000000001E-2</v>
      </c>
      <c r="F369" s="891"/>
      <c r="G369" s="730"/>
    </row>
    <row r="370" spans="1:28" x14ac:dyDescent="0.25">
      <c r="A370" s="284"/>
      <c r="B370" s="924" t="s">
        <v>568</v>
      </c>
      <c r="C370" s="823"/>
      <c r="D370" s="886">
        <f>'[15]Profit &amp; Loss Grouping'!E63</f>
        <v>86.248659975999999</v>
      </c>
      <c r="E370" s="784">
        <f>'[15]Profit &amp; Loss Grouping'!G63</f>
        <v>27.143984060000001</v>
      </c>
      <c r="F370" s="958"/>
      <c r="G370" s="291"/>
    </row>
    <row r="371" spans="1:28" x14ac:dyDescent="0.25">
      <c r="A371" s="284"/>
      <c r="B371" s="924" t="s">
        <v>569</v>
      </c>
      <c r="C371" s="823"/>
      <c r="D371" s="886">
        <f>'[15]Profit &amp; Loss Grouping'!E65</f>
        <v>127.83927792700001</v>
      </c>
      <c r="E371" s="784">
        <f>'[15]Profit &amp; Loss Grouping'!G65</f>
        <v>117.55086817599999</v>
      </c>
      <c r="F371" s="585"/>
    </row>
    <row r="372" spans="1:28" x14ac:dyDescent="0.25">
      <c r="A372" s="284"/>
      <c r="B372" s="168" t="s">
        <v>867</v>
      </c>
      <c r="C372" s="955"/>
      <c r="D372" s="956">
        <f>SUM(D366:D371)</f>
        <v>4199.2162822520004</v>
      </c>
      <c r="E372" s="804">
        <f>SUM(E366:E371)</f>
        <v>1331.5067814460003</v>
      </c>
      <c r="F372" s="585"/>
    </row>
    <row r="373" spans="1:28" ht="15.75" thickBot="1" x14ac:dyDescent="0.3">
      <c r="A373" s="284"/>
      <c r="B373" s="959" t="s">
        <v>953</v>
      </c>
      <c r="C373" s="955"/>
      <c r="D373" s="960">
        <f>+D365+D372</f>
        <v>4199.4453070320005</v>
      </c>
      <c r="E373" s="961">
        <f>+E365+E372</f>
        <v>1331.6756587420002</v>
      </c>
      <c r="F373" s="958">
        <f>1639165956.35/10^7</f>
        <v>163.91659563499999</v>
      </c>
      <c r="G373" s="291"/>
      <c r="I373" s="962">
        <f>+F373-D373</f>
        <v>-4035.5287113970007</v>
      </c>
    </row>
    <row r="374" spans="1:28" ht="15.75" hidden="1" thickTop="1" x14ac:dyDescent="0.25">
      <c r="A374" s="284"/>
      <c r="B374" s="959"/>
      <c r="C374" s="955"/>
      <c r="D374" s="272"/>
      <c r="E374" s="879"/>
      <c r="F374" s="958"/>
      <c r="G374" s="291"/>
      <c r="I374" s="962"/>
    </row>
    <row r="375" spans="1:28" ht="15.75" hidden="1" thickTop="1" x14ac:dyDescent="0.25">
      <c r="A375" s="284" t="s">
        <v>954</v>
      </c>
      <c r="B375" s="959" t="s">
        <v>955</v>
      </c>
      <c r="C375" s="955"/>
      <c r="D375" s="272">
        <v>0</v>
      </c>
      <c r="E375" s="879">
        <v>0</v>
      </c>
      <c r="F375" s="958"/>
      <c r="G375" s="291"/>
      <c r="H375" s="169" t="s">
        <v>817</v>
      </c>
      <c r="I375" s="962"/>
      <c r="AB375" s="963" t="s">
        <v>954</v>
      </c>
    </row>
    <row r="376" spans="1:28" ht="15.75" thickTop="1" x14ac:dyDescent="0.25">
      <c r="A376" s="284"/>
      <c r="B376" s="168"/>
      <c r="C376" s="823"/>
      <c r="D376" s="201"/>
      <c r="E376" s="870"/>
      <c r="F376" s="585"/>
    </row>
    <row r="377" spans="1:28" x14ac:dyDescent="0.25">
      <c r="A377" s="284">
        <v>25</v>
      </c>
      <c r="B377" s="949" t="s">
        <v>956</v>
      </c>
      <c r="C377" s="823"/>
      <c r="D377" s="201"/>
      <c r="E377" s="870"/>
      <c r="F377" s="585"/>
      <c r="AB377" s="963">
        <v>25</v>
      </c>
    </row>
    <row r="378" spans="1:28" x14ac:dyDescent="0.25">
      <c r="A378" s="284"/>
      <c r="B378" s="924" t="s">
        <v>573</v>
      </c>
      <c r="C378" s="823"/>
      <c r="D378" s="886">
        <f>'[15]Profit &amp; Loss Grouping'!E83</f>
        <v>21401.30131345</v>
      </c>
      <c r="E378" s="784">
        <f>'[15]Profit &amp; Loss Grouping'!G83</f>
        <v>13994.072569645998</v>
      </c>
      <c r="F378" s="958"/>
      <c r="G378" s="291">
        <f>+D378-E378</f>
        <v>7407.2287438040021</v>
      </c>
    </row>
    <row r="379" spans="1:28" x14ac:dyDescent="0.25">
      <c r="A379" s="284"/>
      <c r="B379" s="924" t="s">
        <v>574</v>
      </c>
      <c r="C379" s="823"/>
      <c r="D379" s="886">
        <f>+'[15]Profit &amp; Loss Grouping'!E108</f>
        <v>211.03443160200001</v>
      </c>
      <c r="E379" s="784">
        <f>+'[15]Profit &amp; Loss Grouping'!G108</f>
        <v>181.17247039</v>
      </c>
      <c r="F379" s="958"/>
      <c r="G379" s="291"/>
    </row>
    <row r="380" spans="1:28" x14ac:dyDescent="0.25">
      <c r="A380" s="284"/>
      <c r="B380" s="924" t="s">
        <v>579</v>
      </c>
      <c r="C380" s="823"/>
      <c r="D380" s="886">
        <f>+'[15]Profit &amp; Loss Grouping'!E110</f>
        <v>278.2720339</v>
      </c>
      <c r="E380" s="784">
        <f>+'[15]Profit &amp; Loss Grouping'!G110</f>
        <v>388.1135653</v>
      </c>
      <c r="F380" s="958"/>
      <c r="G380" s="291"/>
    </row>
    <row r="381" spans="1:28" x14ac:dyDescent="0.25">
      <c r="A381" s="284"/>
      <c r="B381" s="924" t="s">
        <v>575</v>
      </c>
      <c r="C381" s="823"/>
      <c r="D381" s="886">
        <f>'[15]Profit &amp; Loss Grouping'!E112</f>
        <v>945.23648727700004</v>
      </c>
      <c r="E381" s="784">
        <f>'[15]Profit &amp; Loss Grouping'!G112</f>
        <v>377.162098996</v>
      </c>
      <c r="F381" s="585"/>
      <c r="G381" s="291">
        <f>+D381-E381</f>
        <v>568.07438828099998</v>
      </c>
    </row>
    <row r="382" spans="1:28" x14ac:dyDescent="0.25">
      <c r="A382" s="284"/>
      <c r="B382" s="924" t="s">
        <v>576</v>
      </c>
      <c r="C382" s="823"/>
      <c r="D382" s="886">
        <f>'[15]Profit &amp; Loss Grouping'!E116</f>
        <v>822.98541388900003</v>
      </c>
      <c r="E382" s="784">
        <f>'[15]Profit &amp; Loss Grouping'!G116</f>
        <v>395.10324600200005</v>
      </c>
      <c r="F382" s="585"/>
      <c r="G382" s="291">
        <f>+D382-E382</f>
        <v>427.88216788699998</v>
      </c>
    </row>
    <row r="383" spans="1:28" x14ac:dyDescent="0.25">
      <c r="A383" s="284"/>
      <c r="B383" s="924" t="s">
        <v>577</v>
      </c>
      <c r="C383" s="823"/>
      <c r="D383" s="964">
        <f>'[15]Profit &amp; Loss Grouping'!E127</f>
        <v>324.15974496300004</v>
      </c>
      <c r="E383" s="792">
        <f>'[15]Profit &amp; Loss Grouping'!G127</f>
        <v>288.81969009599993</v>
      </c>
      <c r="F383" s="585"/>
      <c r="G383" s="291">
        <f>+D383-E383</f>
        <v>35.340054867000106</v>
      </c>
    </row>
    <row r="384" spans="1:28" ht="15.75" thickBot="1" x14ac:dyDescent="0.3">
      <c r="A384" s="284"/>
      <c r="B384" s="168" t="s">
        <v>867</v>
      </c>
      <c r="C384" s="823"/>
      <c r="D384" s="960">
        <f>SUM(D378:D383)</f>
        <v>23982.989425080999</v>
      </c>
      <c r="E384" s="961">
        <f>SUM(E378:E383)</f>
        <v>15624.443640429996</v>
      </c>
      <c r="F384" s="585"/>
    </row>
    <row r="385" spans="1:28" ht="15.75" thickTop="1" x14ac:dyDescent="0.25">
      <c r="A385" s="284"/>
      <c r="B385" s="168"/>
      <c r="C385" s="823"/>
      <c r="D385" s="201"/>
      <c r="E385" s="870"/>
      <c r="F385" s="585"/>
    </row>
    <row r="386" spans="1:28" x14ac:dyDescent="0.25">
      <c r="A386" s="284">
        <v>26</v>
      </c>
      <c r="B386" s="949" t="s">
        <v>957</v>
      </c>
      <c r="C386" s="823"/>
      <c r="D386" s="201"/>
      <c r="E386" s="870"/>
      <c r="F386" s="585"/>
      <c r="AB386" s="163">
        <f>+A386</f>
        <v>26</v>
      </c>
    </row>
    <row r="387" spans="1:28" x14ac:dyDescent="0.25">
      <c r="A387" s="284"/>
      <c r="B387" s="924" t="s">
        <v>958</v>
      </c>
      <c r="C387" s="965"/>
      <c r="D387" s="886">
        <f>'[15]Profit &amp; Loss Grouping'!E137</f>
        <v>1268.3000814499999</v>
      </c>
      <c r="E387" s="784">
        <f>'[15]Profit &amp; Loss Grouping'!G137</f>
        <v>1175.0356517450002</v>
      </c>
      <c r="F387" s="941"/>
    </row>
    <row r="388" spans="1:28" x14ac:dyDescent="0.25">
      <c r="A388" s="284"/>
      <c r="B388" s="924" t="s">
        <v>959</v>
      </c>
      <c r="C388" s="965"/>
      <c r="D388" s="886">
        <f>'[15]Profit &amp; Loss Grouping'!E154</f>
        <v>123.9564458</v>
      </c>
      <c r="E388" s="784">
        <f>'[15]Profit &amp; Loss Grouping'!G154</f>
        <v>116.7236534</v>
      </c>
      <c r="F388" s="585"/>
    </row>
    <row r="389" spans="1:28" x14ac:dyDescent="0.25">
      <c r="A389" s="284"/>
      <c r="B389" s="924" t="s">
        <v>960</v>
      </c>
      <c r="C389" s="965"/>
      <c r="D389" s="886">
        <f>'[15]Profit &amp; Loss Grouping'!E155</f>
        <v>214.22030843100001</v>
      </c>
      <c r="E389" s="784">
        <f>'[15]Profit &amp; Loss Grouping'!G155</f>
        <v>239.19650861299999</v>
      </c>
      <c r="F389" s="891">
        <f>+D389-E389</f>
        <v>-24.976200181999985</v>
      </c>
      <c r="G389" s="730"/>
      <c r="I389" s="290"/>
    </row>
    <row r="390" spans="1:28" x14ac:dyDescent="0.25">
      <c r="A390" s="284"/>
      <c r="B390" s="924" t="s">
        <v>961</v>
      </c>
      <c r="C390" s="965"/>
      <c r="D390" s="964">
        <f>'[15]Profit &amp; Loss Grouping'!E163</f>
        <v>99.604207505999995</v>
      </c>
      <c r="E390" s="792">
        <f>'[15]Profit &amp; Loss Grouping'!G163</f>
        <v>131.58957285700001</v>
      </c>
      <c r="F390" s="891">
        <f>+D390-E390</f>
        <v>-31.985365351000013</v>
      </c>
      <c r="G390" s="730"/>
      <c r="I390" s="290"/>
    </row>
    <row r="391" spans="1:28" ht="15.75" thickBot="1" x14ac:dyDescent="0.3">
      <c r="A391" s="284"/>
      <c r="B391" s="168" t="s">
        <v>867</v>
      </c>
      <c r="C391" s="823"/>
      <c r="D391" s="960">
        <f>SUM(D387:D390)</f>
        <v>1706.0810431869998</v>
      </c>
      <c r="E391" s="961">
        <f>SUM(E387:E390)</f>
        <v>1662.5453866150001</v>
      </c>
      <c r="F391" s="891"/>
      <c r="G391" s="730"/>
      <c r="I391" s="290"/>
    </row>
    <row r="392" spans="1:28" ht="15.75" thickTop="1" x14ac:dyDescent="0.25">
      <c r="A392" s="284" t="s">
        <v>962</v>
      </c>
      <c r="B392" s="949" t="s">
        <v>963</v>
      </c>
      <c r="C392" s="823"/>
      <c r="D392" s="201"/>
      <c r="E392" s="870"/>
      <c r="F392" s="891"/>
      <c r="G392" s="730"/>
      <c r="I392" s="290"/>
      <c r="AB392" s="163" t="str">
        <f>+A392</f>
        <v>26A</v>
      </c>
    </row>
    <row r="393" spans="1:28" x14ac:dyDescent="0.25">
      <c r="A393" s="284"/>
      <c r="B393" s="924" t="s">
        <v>595</v>
      </c>
      <c r="C393" s="823"/>
      <c r="D393" s="886">
        <f>+'[15]Profit &amp; Loss Grouping'!E189</f>
        <v>19.753063399999998</v>
      </c>
      <c r="E393" s="784">
        <f>+'[15]Profit &amp; Loss Grouping'!G189</f>
        <v>51.507953000000001</v>
      </c>
      <c r="F393" s="891"/>
      <c r="G393" s="730"/>
      <c r="I393" s="290"/>
    </row>
    <row r="394" spans="1:28" ht="16.5" customHeight="1" x14ac:dyDescent="0.25">
      <c r="A394" s="284"/>
      <c r="B394" s="168"/>
      <c r="C394" s="823"/>
      <c r="D394" s="218"/>
      <c r="E394" s="966"/>
      <c r="F394" s="891"/>
      <c r="G394" s="730"/>
      <c r="I394" s="290"/>
    </row>
    <row r="395" spans="1:28" x14ac:dyDescent="0.25">
      <c r="A395" s="284">
        <v>27</v>
      </c>
      <c r="B395" s="949" t="s">
        <v>135</v>
      </c>
      <c r="C395" s="823"/>
      <c r="D395" s="928"/>
      <c r="E395" s="931"/>
      <c r="F395" s="585"/>
      <c r="AB395" s="163">
        <f>+A395</f>
        <v>27</v>
      </c>
    </row>
    <row r="396" spans="1:28" x14ac:dyDescent="0.25">
      <c r="A396" s="284"/>
      <c r="B396" s="924" t="s">
        <v>964</v>
      </c>
      <c r="C396" s="823"/>
      <c r="D396" s="886">
        <f>'[15]Profit &amp; Loss Grouping'!E192-D397-D399</f>
        <v>3816.2029633770007</v>
      </c>
      <c r="E396" s="784">
        <f>'[15]Profit &amp; Loss Grouping'!G192-E397-E399</f>
        <v>3738.1434915330001</v>
      </c>
      <c r="F396" s="585"/>
      <c r="G396" s="288"/>
    </row>
    <row r="397" spans="1:28" ht="29.25" x14ac:dyDescent="0.25">
      <c r="A397" s="284"/>
      <c r="B397" s="967" t="s">
        <v>602</v>
      </c>
      <c r="C397" s="823"/>
      <c r="D397" s="886">
        <f>262301672/10^7</f>
        <v>26.2301672</v>
      </c>
      <c r="E397" s="784">
        <f>94250379/10^7</f>
        <v>9.4250378999999995</v>
      </c>
      <c r="F397" s="585"/>
      <c r="H397" s="169">
        <v>174200286</v>
      </c>
    </row>
    <row r="398" spans="1:28" x14ac:dyDescent="0.25">
      <c r="A398" s="284"/>
      <c r="B398" s="924" t="s">
        <v>603</v>
      </c>
      <c r="C398" s="823"/>
      <c r="D398" s="886">
        <f>'[15]Profit &amp; Loss Grouping'!E209</f>
        <v>9.8601437020000002</v>
      </c>
      <c r="E398" s="784">
        <f>'[15]Profit &amp; Loss Grouping'!G209</f>
        <v>3.3193659129999999</v>
      </c>
      <c r="F398" s="585"/>
    </row>
    <row r="399" spans="1:28" ht="15" customHeight="1" x14ac:dyDescent="0.25">
      <c r="A399" s="284"/>
      <c r="B399" s="924" t="s">
        <v>604</v>
      </c>
      <c r="C399" s="823"/>
      <c r="D399" s="964">
        <f>-3591434746/10^7</f>
        <v>-359.14347459999999</v>
      </c>
      <c r="E399" s="792">
        <v>-227.3501321</v>
      </c>
      <c r="F399" s="585"/>
      <c r="I399" s="968"/>
    </row>
    <row r="400" spans="1:28" x14ac:dyDescent="0.25">
      <c r="A400" s="292"/>
      <c r="B400" s="969" t="s">
        <v>867</v>
      </c>
      <c r="C400" s="899"/>
      <c r="D400" s="970">
        <f>SUM(D396:D399)</f>
        <v>3493.1497996790008</v>
      </c>
      <c r="E400" s="971">
        <f>SUM(E396:E399)</f>
        <v>3523.5377632460004</v>
      </c>
      <c r="F400" s="585"/>
      <c r="I400" s="968"/>
    </row>
    <row r="401" spans="1:28" ht="15.75" hidden="1" customHeight="1" x14ac:dyDescent="0.25">
      <c r="A401" s="273"/>
      <c r="B401" s="869"/>
      <c r="C401" s="869"/>
      <c r="D401" s="869"/>
      <c r="E401" s="937"/>
      <c r="F401" s="585"/>
      <c r="I401" s="968"/>
    </row>
    <row r="402" spans="1:28" ht="21.75" customHeight="1" x14ac:dyDescent="0.25">
      <c r="A402" s="294">
        <v>28</v>
      </c>
      <c r="B402" s="972" t="s">
        <v>965</v>
      </c>
      <c r="C402" s="841"/>
      <c r="D402" s="973"/>
      <c r="E402" s="974"/>
      <c r="F402" s="585"/>
      <c r="I402" s="968"/>
      <c r="AB402" s="163">
        <f>+A402</f>
        <v>28</v>
      </c>
    </row>
    <row r="403" spans="1:28" x14ac:dyDescent="0.25">
      <c r="A403" s="273"/>
      <c r="B403" s="975" t="s">
        <v>966</v>
      </c>
      <c r="C403" s="823"/>
      <c r="D403" s="886">
        <f>'[15]Profit &amp; Loss Grouping'!E219</f>
        <v>1.6931202679999999</v>
      </c>
      <c r="E403" s="784">
        <f>'[15]Profit &amp; Loss Grouping'!G219</f>
        <v>2.0530895999999998</v>
      </c>
      <c r="F403" s="976">
        <f>+D403-E403</f>
        <v>-0.35996933199999992</v>
      </c>
      <c r="I403" s="968"/>
    </row>
    <row r="404" spans="1:28" x14ac:dyDescent="0.25">
      <c r="A404" s="273"/>
      <c r="B404" s="975" t="s">
        <v>967</v>
      </c>
      <c r="C404" s="823"/>
      <c r="D404" s="886">
        <f>'[15]Profit &amp; Loss Grouping'!E220</f>
        <v>82.875600000000006</v>
      </c>
      <c r="E404" s="784">
        <f>'[15]Profit &amp; Loss Grouping'!G220</f>
        <v>84.788999799999999</v>
      </c>
      <c r="F404" s="976">
        <f>+D404-E404</f>
        <v>-1.9133997999999934</v>
      </c>
      <c r="I404" s="968"/>
    </row>
    <row r="405" spans="1:28" x14ac:dyDescent="0.25">
      <c r="A405" s="273"/>
      <c r="B405" s="977" t="s">
        <v>968</v>
      </c>
      <c r="C405" s="823"/>
      <c r="D405" s="886"/>
      <c r="E405" s="784"/>
      <c r="F405" s="585"/>
    </row>
    <row r="406" spans="1:28" x14ac:dyDescent="0.25">
      <c r="A406" s="273"/>
      <c r="B406" s="975" t="s">
        <v>969</v>
      </c>
      <c r="C406" s="823"/>
      <c r="D406" s="886">
        <f>'[15]Profit &amp; Loss Grouping'!E222</f>
        <v>1527.56842052</v>
      </c>
      <c r="E406" s="784">
        <f>'[15]Profit &amp; Loss Grouping'!G222</f>
        <v>1330.2547763730001</v>
      </c>
      <c r="F406" s="976">
        <f t="shared" ref="F406:F419" si="22">+D406-E406</f>
        <v>197.31364414699988</v>
      </c>
    </row>
    <row r="407" spans="1:28" x14ac:dyDescent="0.25">
      <c r="A407" s="273"/>
      <c r="B407" s="975" t="s">
        <v>970</v>
      </c>
      <c r="C407" s="823"/>
      <c r="D407" s="886">
        <f>'[15]Profit &amp; Loss Grouping'!E231</f>
        <v>0.76706291599999998</v>
      </c>
      <c r="E407" s="784">
        <f>'[15]Profit &amp; Loss Grouping'!G231</f>
        <v>1.14329141</v>
      </c>
      <c r="F407" s="976">
        <f t="shared" si="22"/>
        <v>-0.37622849400000002</v>
      </c>
    </row>
    <row r="408" spans="1:28" x14ac:dyDescent="0.25">
      <c r="A408" s="273"/>
      <c r="B408" s="975" t="s">
        <v>971</v>
      </c>
      <c r="C408" s="823"/>
      <c r="D408" s="886">
        <f>'[15]Profit &amp; Loss Grouping'!E237</f>
        <v>26.908011381000001</v>
      </c>
      <c r="E408" s="784">
        <f>'[15]Profit &amp; Loss Grouping'!G237</f>
        <v>32.901833240000002</v>
      </c>
      <c r="F408" s="976">
        <f t="shared" si="22"/>
        <v>-5.9938218590000005</v>
      </c>
    </row>
    <row r="409" spans="1:28" x14ac:dyDescent="0.25">
      <c r="A409" s="273"/>
      <c r="B409" s="975" t="s">
        <v>972</v>
      </c>
      <c r="C409" s="823"/>
      <c r="D409" s="886">
        <f>'[15]Profit &amp; Loss Grouping'!E241</f>
        <v>52.151190462000002</v>
      </c>
      <c r="E409" s="784">
        <f>'[15]Profit &amp; Loss Grouping'!G241</f>
        <v>26.019772459999999</v>
      </c>
      <c r="F409" s="976">
        <f t="shared" si="22"/>
        <v>26.131418002000004</v>
      </c>
    </row>
    <row r="410" spans="1:28" x14ac:dyDescent="0.25">
      <c r="A410" s="273"/>
      <c r="B410" s="977"/>
      <c r="C410" s="823"/>
      <c r="D410" s="886"/>
      <c r="E410" s="784"/>
      <c r="F410" s="976">
        <f t="shared" si="22"/>
        <v>0</v>
      </c>
    </row>
    <row r="411" spans="1:28" x14ac:dyDescent="0.25">
      <c r="A411" s="273"/>
      <c r="B411" s="975" t="s">
        <v>624</v>
      </c>
      <c r="C411" s="965"/>
      <c r="D411" s="886">
        <f>'[15]Profit &amp; Loss Grouping'!E243</f>
        <v>28.635460676000001</v>
      </c>
      <c r="E411" s="784">
        <f>'[15]Profit &amp; Loss Grouping'!G243</f>
        <v>10.939209062</v>
      </c>
      <c r="F411" s="976">
        <f t="shared" si="22"/>
        <v>17.696251614000001</v>
      </c>
    </row>
    <row r="412" spans="1:28" x14ac:dyDescent="0.25">
      <c r="A412" s="273"/>
      <c r="B412" s="975" t="s">
        <v>625</v>
      </c>
      <c r="C412" s="965"/>
      <c r="D412" s="886">
        <f>+'[15]Profit &amp; Loss Grouping'!E247</f>
        <v>0</v>
      </c>
      <c r="E412" s="784">
        <f>+'[15]Profit &amp; Loss Grouping'!G247</f>
        <v>0</v>
      </c>
      <c r="F412" s="976">
        <f t="shared" si="22"/>
        <v>0</v>
      </c>
    </row>
    <row r="413" spans="1:28" x14ac:dyDescent="0.25">
      <c r="A413" s="273"/>
      <c r="B413" s="975" t="s">
        <v>973</v>
      </c>
      <c r="C413" s="823"/>
      <c r="D413" s="886">
        <f>'[15]Profit &amp; Loss Grouping'!E249</f>
        <v>0.17906525300000001</v>
      </c>
      <c r="E413" s="784">
        <f>'[15]Profit &amp; Loss Grouping'!G249</f>
        <v>5.9982177000000005E-2</v>
      </c>
      <c r="F413" s="976">
        <f t="shared" si="22"/>
        <v>0.11908307600000001</v>
      </c>
    </row>
    <row r="414" spans="1:28" x14ac:dyDescent="0.25">
      <c r="A414" s="273"/>
      <c r="B414" s="975" t="s">
        <v>974</v>
      </c>
      <c r="C414" s="823"/>
      <c r="D414" s="886">
        <f>'[15]Profit &amp; Loss Grouping'!E251</f>
        <v>38.445306602000002</v>
      </c>
      <c r="E414" s="784">
        <f>'[15]Profit &amp; Loss Grouping'!G251</f>
        <v>29.028856476999998</v>
      </c>
      <c r="F414" s="976">
        <f t="shared" si="22"/>
        <v>9.4164501250000043</v>
      </c>
    </row>
    <row r="415" spans="1:28" x14ac:dyDescent="0.25">
      <c r="A415" s="273"/>
      <c r="B415" s="975" t="s">
        <v>627</v>
      </c>
      <c r="C415" s="823"/>
      <c r="D415" s="886">
        <f>'[15]Profit &amp; Loss Grouping'!E256</f>
        <v>0</v>
      </c>
      <c r="E415" s="784">
        <f>'[15]Profit &amp; Loss Grouping'!G256</f>
        <v>0</v>
      </c>
      <c r="F415" s="976">
        <f t="shared" si="22"/>
        <v>0</v>
      </c>
    </row>
    <row r="416" spans="1:28" x14ac:dyDescent="0.25">
      <c r="A416" s="273"/>
      <c r="B416" s="975" t="s">
        <v>975</v>
      </c>
      <c r="C416" s="823"/>
      <c r="D416" s="886">
        <f>'[15]Profit &amp; Loss Grouping'!E257</f>
        <v>18.280990943999999</v>
      </c>
      <c r="E416" s="784">
        <f>'[15]Profit &amp; Loss Grouping'!G257</f>
        <v>5.531187482</v>
      </c>
      <c r="F416" s="976">
        <f t="shared" si="22"/>
        <v>12.749803461999999</v>
      </c>
    </row>
    <row r="417" spans="1:11" x14ac:dyDescent="0.25">
      <c r="A417" s="273"/>
      <c r="B417" s="978" t="s">
        <v>976</v>
      </c>
      <c r="C417" s="979"/>
      <c r="D417" s="886">
        <f>'[15]Profit &amp; Loss Grouping'!E261</f>
        <v>10.342248376999999</v>
      </c>
      <c r="E417" s="784">
        <f>'[15]Profit &amp; Loss Grouping'!G261</f>
        <v>3.7052174999999998</v>
      </c>
      <c r="F417" s="976">
        <f t="shared" si="22"/>
        <v>6.6370308769999991</v>
      </c>
      <c r="G417" s="730"/>
      <c r="I417" s="295"/>
      <c r="J417" s="162"/>
      <c r="K417" s="161"/>
    </row>
    <row r="418" spans="1:11" x14ac:dyDescent="0.25">
      <c r="A418" s="273"/>
      <c r="B418" s="975" t="s">
        <v>630</v>
      </c>
      <c r="C418" s="925"/>
      <c r="D418" s="886">
        <f>'[15]Profit &amp; Loss Grouping'!E262</f>
        <v>10.746824050000001</v>
      </c>
      <c r="E418" s="784">
        <f>'[15]Profit &amp; Loss Grouping'!G262</f>
        <v>106.753225925</v>
      </c>
      <c r="F418" s="976">
        <f t="shared" si="22"/>
        <v>-96.006401874999995</v>
      </c>
    </row>
    <row r="419" spans="1:11" x14ac:dyDescent="0.25">
      <c r="A419" s="273"/>
      <c r="B419" s="975" t="s">
        <v>977</v>
      </c>
      <c r="C419" s="925"/>
      <c r="D419" s="886">
        <f>'[15]Profit &amp; Loss Grouping'!E263</f>
        <v>0</v>
      </c>
      <c r="E419" s="784">
        <f>'[15]Profit &amp; Loss Grouping'!G263</f>
        <v>0</v>
      </c>
      <c r="F419" s="976">
        <f t="shared" si="22"/>
        <v>0</v>
      </c>
    </row>
    <row r="420" spans="1:11" x14ac:dyDescent="0.25">
      <c r="A420" s="273"/>
      <c r="B420" s="975" t="s">
        <v>631</v>
      </c>
      <c r="C420" s="925"/>
      <c r="D420" s="886">
        <f>'[15]Profit &amp; Loss Grouping'!E264</f>
        <v>142.994912196</v>
      </c>
      <c r="E420" s="784">
        <f>'[15]Profit &amp; Loss Grouping'!G264</f>
        <v>114.965909913</v>
      </c>
      <c r="F420" s="976"/>
    </row>
    <row r="421" spans="1:11" x14ac:dyDescent="0.25">
      <c r="A421" s="273"/>
      <c r="B421" s="975" t="s">
        <v>639</v>
      </c>
      <c r="C421" s="925"/>
      <c r="D421" s="886">
        <f>'[15]Profit &amp; Loss Grouping'!E265</f>
        <v>74.362762492000002</v>
      </c>
      <c r="E421" s="784">
        <f>'[15]Profit &amp; Loss Grouping'!G265</f>
        <v>56.342442502999994</v>
      </c>
      <c r="F421" s="976"/>
    </row>
    <row r="422" spans="1:11" x14ac:dyDescent="0.25">
      <c r="A422" s="273"/>
      <c r="B422" s="975" t="s">
        <v>632</v>
      </c>
      <c r="C422" s="925"/>
      <c r="D422" s="886">
        <f>'[15]Profit &amp; Loss Grouping'!E266</f>
        <v>35.735643924000001</v>
      </c>
      <c r="E422" s="784">
        <f>'[15]Profit &amp; Loss Grouping'!G266</f>
        <v>28.391812718000001</v>
      </c>
      <c r="F422" s="976"/>
    </row>
    <row r="423" spans="1:11" x14ac:dyDescent="0.25">
      <c r="A423" s="273"/>
      <c r="B423" s="975" t="s">
        <v>978</v>
      </c>
      <c r="C423" s="925"/>
      <c r="D423" s="886">
        <f>'[15]Profit &amp; Loss Grouping'!E268</f>
        <v>74.081385744000002</v>
      </c>
      <c r="E423" s="784">
        <f>'[15]Profit &amp; Loss Grouping'!G268</f>
        <v>159.04222197999999</v>
      </c>
      <c r="F423" s="976">
        <f>+D423-E423</f>
        <v>-84.960836235999992</v>
      </c>
    </row>
    <row r="424" spans="1:11" x14ac:dyDescent="0.25">
      <c r="A424" s="273"/>
      <c r="B424" s="975" t="s">
        <v>634</v>
      </c>
      <c r="C424" s="925"/>
      <c r="D424" s="886">
        <f>'[15]Profit &amp; Loss Grouping'!E310</f>
        <v>0.29646620099999998</v>
      </c>
      <c r="E424" s="784">
        <f>'[15]Profit &amp; Loss Grouping'!G310</f>
        <v>26.625149478000001</v>
      </c>
      <c r="F424" s="976">
        <f>+D424-E424</f>
        <v>-26.328683277</v>
      </c>
    </row>
    <row r="425" spans="1:11" x14ac:dyDescent="0.25">
      <c r="A425" s="273"/>
      <c r="B425" s="975" t="s">
        <v>635</v>
      </c>
      <c r="C425" s="925"/>
      <c r="D425" s="886">
        <f>'[15]Profit &amp; Loss Grouping'!E311</f>
        <v>5.5115138110000004</v>
      </c>
      <c r="E425" s="784">
        <f>'[15]Profit &amp; Loss Grouping'!G311</f>
        <v>1.337666536</v>
      </c>
      <c r="F425" s="976">
        <f>+D425-E425</f>
        <v>4.173847275</v>
      </c>
    </row>
    <row r="426" spans="1:11" x14ac:dyDescent="0.25">
      <c r="A426" s="273"/>
      <c r="B426" s="975" t="s">
        <v>637</v>
      </c>
      <c r="C426" s="925"/>
      <c r="D426" s="886">
        <f>'[15]Profit &amp; Loss Grouping'!E312</f>
        <v>179.08925009999999</v>
      </c>
      <c r="E426" s="784">
        <v>0</v>
      </c>
      <c r="F426" s="976">
        <f>+D426-E426</f>
        <v>179.08925009999999</v>
      </c>
    </row>
    <row r="427" spans="1:11" x14ac:dyDescent="0.25">
      <c r="A427" s="273"/>
      <c r="B427" s="980" t="s">
        <v>979</v>
      </c>
      <c r="C427" s="981"/>
      <c r="D427" s="886">
        <f>(+'[15]Profit &amp; Loss Grouping'!E349-'[15]Profit &amp; Loss Grouping'!E339)</f>
        <v>0</v>
      </c>
      <c r="E427" s="784">
        <f>+'[15]Profit &amp; Loss Grouping'!G349-'[15]Profit &amp; Loss Grouping'!G339</f>
        <v>0</v>
      </c>
      <c r="F427" s="976">
        <f>+E427-D427</f>
        <v>0</v>
      </c>
    </row>
    <row r="428" spans="1:11" x14ac:dyDescent="0.25">
      <c r="A428" s="273"/>
      <c r="B428" s="977" t="s">
        <v>980</v>
      </c>
      <c r="C428" s="925"/>
      <c r="D428" s="886"/>
      <c r="E428" s="784"/>
      <c r="F428" s="585"/>
    </row>
    <row r="429" spans="1:11" ht="14.25" customHeight="1" x14ac:dyDescent="0.25">
      <c r="A429" s="273"/>
      <c r="B429" s="982" t="s">
        <v>981</v>
      </c>
      <c r="C429" s="983"/>
      <c r="D429" s="886">
        <f>+'[15]Profit &amp; Loss Grouping'!E315</f>
        <v>0.64500000000000002</v>
      </c>
      <c r="E429" s="784">
        <f>+'[15]Profit &amp; Loss Grouping'!G315</f>
        <v>0.6349999999999999</v>
      </c>
      <c r="F429" s="585"/>
    </row>
    <row r="430" spans="1:11" x14ac:dyDescent="0.25">
      <c r="A430" s="273"/>
      <c r="B430" s="982" t="s">
        <v>982</v>
      </c>
      <c r="C430" s="925"/>
      <c r="D430" s="886">
        <f>+'[15]Profit &amp; Loss Grouping'!E316</f>
        <v>0</v>
      </c>
      <c r="E430" s="784">
        <f>+'[15]Profit &amp; Loss Grouping'!G316</f>
        <v>0</v>
      </c>
      <c r="F430" s="585"/>
    </row>
    <row r="431" spans="1:11" x14ac:dyDescent="0.25">
      <c r="A431" s="273"/>
      <c r="B431" s="982" t="s">
        <v>983</v>
      </c>
      <c r="C431" s="925"/>
      <c r="D431" s="886">
        <f>+'[15]Profit &amp; Loss Grouping'!E317</f>
        <v>1.5889400000000001E-2</v>
      </c>
      <c r="E431" s="784">
        <f>+'[15]Profit &amp; Loss Grouping'!G317</f>
        <v>2.7669699999999998E-2</v>
      </c>
      <c r="F431" s="585"/>
    </row>
    <row r="432" spans="1:11" x14ac:dyDescent="0.25">
      <c r="A432" s="273"/>
      <c r="B432" s="982" t="s">
        <v>984</v>
      </c>
      <c r="C432" s="927"/>
      <c r="D432" s="964">
        <f>+'[15]Profit &amp; Loss Grouping'!E318</f>
        <v>0.11755500000000001</v>
      </c>
      <c r="E432" s="792">
        <f>+'[15]Profit &amp; Loss Grouping'!G318</f>
        <v>0.1197</v>
      </c>
      <c r="F432" s="585"/>
    </row>
    <row r="433" spans="1:28" ht="15.75" thickBot="1" x14ac:dyDescent="0.3">
      <c r="A433" s="273"/>
      <c r="B433" s="984" t="s">
        <v>92</v>
      </c>
      <c r="C433" s="985"/>
      <c r="D433" s="960">
        <f>SUM(D403:D432)</f>
        <v>2311.4436803170001</v>
      </c>
      <c r="E433" s="961">
        <f>SUM(E403:E432)</f>
        <v>2020.6670143339998</v>
      </c>
      <c r="F433" s="976">
        <f>+D433-E433</f>
        <v>290.77666598300038</v>
      </c>
      <c r="G433" s="200"/>
      <c r="H433" s="905">
        <f>+D433-D406-D407</f>
        <v>783.10819688100014</v>
      </c>
      <c r="I433" s="905">
        <f>+E433-E406-E407</f>
        <v>689.26894655099966</v>
      </c>
      <c r="J433" s="161">
        <f>+H433-I433</f>
        <v>93.839250330000482</v>
      </c>
    </row>
    <row r="434" spans="1:28" ht="15.75" thickTop="1" x14ac:dyDescent="0.25">
      <c r="A434" s="273"/>
      <c r="B434" s="986"/>
      <c r="C434" s="925"/>
      <c r="D434" s="730"/>
      <c r="E434" s="987"/>
      <c r="F434" s="585"/>
    </row>
    <row r="435" spans="1:28" x14ac:dyDescent="0.25">
      <c r="A435" s="273" t="s">
        <v>985</v>
      </c>
      <c r="B435" s="988" t="s">
        <v>986</v>
      </c>
      <c r="C435" s="925"/>
      <c r="D435" s="730"/>
      <c r="E435" s="987"/>
      <c r="F435" s="585"/>
      <c r="AB435" s="273" t="s">
        <v>985</v>
      </c>
    </row>
    <row r="436" spans="1:28" x14ac:dyDescent="0.25">
      <c r="A436" s="273"/>
      <c r="B436" s="878" t="s">
        <v>987</v>
      </c>
      <c r="C436" s="925"/>
      <c r="D436" s="886">
        <f>(+'[15]Profit &amp; Loss Grouping'!D374-D437)</f>
        <v>-217.40822170348798</v>
      </c>
      <c r="E436" s="784">
        <v>-459.26706188896003</v>
      </c>
      <c r="F436" s="585"/>
      <c r="AB436" s="273"/>
    </row>
    <row r="437" spans="1:28" x14ac:dyDescent="0.25">
      <c r="A437" s="273"/>
      <c r="B437" s="878" t="s">
        <v>988</v>
      </c>
      <c r="C437" s="925"/>
      <c r="D437" s="964">
        <f>-'[15]Tax Reco Note 15'!D64</f>
        <v>-4.971450996512</v>
      </c>
      <c r="E437" s="792">
        <v>-12.963521611040001</v>
      </c>
      <c r="F437" s="585"/>
      <c r="AB437" s="273"/>
    </row>
    <row r="438" spans="1:28" ht="15.75" thickBot="1" x14ac:dyDescent="0.3">
      <c r="A438" s="897"/>
      <c r="B438" s="989" t="s">
        <v>92</v>
      </c>
      <c r="C438" s="985"/>
      <c r="D438" s="960">
        <f>SUM(D436:D437)</f>
        <v>-222.37967269999999</v>
      </c>
      <c r="E438" s="961">
        <f>SUM(E436:E437)</f>
        <v>-472.23058350000002</v>
      </c>
      <c r="F438" s="585"/>
      <c r="AB438" s="297"/>
    </row>
    <row r="439" spans="1:28" ht="15.75" thickTop="1" x14ac:dyDescent="0.25">
      <c r="B439" s="990"/>
      <c r="C439" s="991"/>
      <c r="D439" s="992"/>
      <c r="E439" s="892"/>
    </row>
    <row r="440" spans="1:28" x14ac:dyDescent="0.25">
      <c r="B440" s="990"/>
      <c r="C440" s="991"/>
      <c r="D440" s="992"/>
      <c r="E440" s="892"/>
    </row>
    <row r="441" spans="1:28" x14ac:dyDescent="0.25">
      <c r="B441" s="990"/>
      <c r="D441" s="992"/>
      <c r="E441" s="892"/>
    </row>
    <row r="442" spans="1:28" x14ac:dyDescent="0.25">
      <c r="B442" s="990"/>
      <c r="D442" s="992">
        <v>2587.0300000000002</v>
      </c>
      <c r="E442" s="892"/>
    </row>
    <row r="443" spans="1:28" x14ac:dyDescent="0.25">
      <c r="B443" s="990"/>
      <c r="D443" s="992">
        <f>+D442+D437</f>
        <v>2582.0585490034882</v>
      </c>
      <c r="E443" s="892"/>
    </row>
    <row r="444" spans="1:28" x14ac:dyDescent="0.25">
      <c r="B444" s="162" t="s">
        <v>867</v>
      </c>
      <c r="D444" s="994"/>
      <c r="E444" s="995"/>
    </row>
    <row r="445" spans="1:28" x14ac:dyDescent="0.25">
      <c r="B445" s="162" t="s">
        <v>867</v>
      </c>
      <c r="D445" s="298"/>
    </row>
    <row r="446" spans="1:28" x14ac:dyDescent="0.25">
      <c r="B446" s="162" t="s">
        <v>867</v>
      </c>
      <c r="D446" s="298"/>
    </row>
    <row r="447" spans="1:28" ht="14.25" x14ac:dyDescent="0.2">
      <c r="A447" s="414" t="s">
        <v>989</v>
      </c>
      <c r="B447" s="300"/>
      <c r="C447" s="996"/>
      <c r="D447" s="997"/>
      <c r="E447" s="998"/>
    </row>
    <row r="448" spans="1:28" ht="14.25" x14ac:dyDescent="0.2">
      <c r="A448" s="999"/>
      <c r="B448" s="1000"/>
      <c r="C448" s="1001"/>
      <c r="D448" s="1002"/>
      <c r="E448" s="1003"/>
    </row>
    <row r="449" spans="1:13" ht="14.25" x14ac:dyDescent="0.2">
      <c r="A449" s="1004" t="s">
        <v>990</v>
      </c>
      <c r="B449" s="300"/>
      <c r="C449" s="1005"/>
      <c r="D449" s="1006"/>
      <c r="E449" s="998"/>
    </row>
    <row r="450" spans="1:13" ht="14.25" x14ac:dyDescent="0.2">
      <c r="A450" s="207"/>
      <c r="B450" s="300"/>
      <c r="C450" s="823"/>
      <c r="D450" s="1005"/>
      <c r="E450" s="998"/>
    </row>
    <row r="451" spans="1:13" ht="14.25" x14ac:dyDescent="0.2">
      <c r="A451" s="207" t="s">
        <v>820</v>
      </c>
      <c r="B451" s="300"/>
      <c r="C451" s="823"/>
      <c r="D451" s="1005">
        <f>+D102*10^7</f>
        <v>-7960389143.3351278</v>
      </c>
      <c r="E451" s="1007">
        <f>+E102*10^7</f>
        <v>-16443397412.090422</v>
      </c>
    </row>
    <row r="452" spans="1:13" ht="14.25" x14ac:dyDescent="0.2">
      <c r="A452" s="207" t="s">
        <v>991</v>
      </c>
      <c r="B452" s="300"/>
      <c r="C452" s="823"/>
      <c r="D452" s="1005">
        <f>+D472</f>
        <v>26094311047.917805</v>
      </c>
      <c r="E452" s="1008">
        <f>+K472</f>
        <v>25530467897.232872</v>
      </c>
    </row>
    <row r="453" spans="1:13" ht="14.25" x14ac:dyDescent="0.2">
      <c r="A453" s="207" t="s">
        <v>992</v>
      </c>
      <c r="B453" s="300"/>
      <c r="C453" s="823"/>
      <c r="D453" s="1009">
        <f>D451/D452</f>
        <v>-0.30506224627725231</v>
      </c>
      <c r="E453" s="1010">
        <f>E451/E452</f>
        <v>-0.64406956732166454</v>
      </c>
    </row>
    <row r="454" spans="1:13" ht="14.25" x14ac:dyDescent="0.2">
      <c r="A454" s="207"/>
      <c r="B454" s="300"/>
      <c r="C454" s="823"/>
      <c r="D454" s="1005"/>
      <c r="E454" s="998"/>
    </row>
    <row r="455" spans="1:13" ht="14.25" x14ac:dyDescent="0.2">
      <c r="A455" s="1004" t="s">
        <v>993</v>
      </c>
      <c r="B455" s="300"/>
      <c r="C455" s="823"/>
      <c r="D455" s="1005"/>
      <c r="E455" s="998"/>
    </row>
    <row r="456" spans="1:13" ht="14.25" x14ac:dyDescent="0.2">
      <c r="A456" s="207"/>
      <c r="B456" s="300"/>
      <c r="C456" s="823"/>
      <c r="D456" s="1005"/>
      <c r="E456" s="998"/>
    </row>
    <row r="457" spans="1:13" ht="14.25" x14ac:dyDescent="0.2">
      <c r="A457" s="207" t="s">
        <v>820</v>
      </c>
      <c r="B457" s="300"/>
      <c r="C457" s="823"/>
      <c r="D457" s="1005">
        <f>+D451</f>
        <v>-7960389143.3351278</v>
      </c>
      <c r="E457" s="1007">
        <f>+E451</f>
        <v>-16443397412.090422</v>
      </c>
    </row>
    <row r="458" spans="1:13" ht="14.25" x14ac:dyDescent="0.2">
      <c r="A458" s="207" t="s">
        <v>991</v>
      </c>
      <c r="B458" s="300"/>
      <c r="C458" s="823"/>
      <c r="D458" s="1005">
        <f>+D472</f>
        <v>26094311047.917805</v>
      </c>
      <c r="E458" s="998">
        <f>+K472</f>
        <v>25530467897.232872</v>
      </c>
    </row>
    <row r="459" spans="1:13" ht="14.25" x14ac:dyDescent="0.2">
      <c r="A459" s="207" t="s">
        <v>992</v>
      </c>
      <c r="B459" s="300"/>
      <c r="C459" s="823"/>
      <c r="D459" s="1009">
        <f>D457/D458</f>
        <v>-0.30506224627725231</v>
      </c>
      <c r="E459" s="1010">
        <f>E457/E458</f>
        <v>-0.64406956732166454</v>
      </c>
    </row>
    <row r="460" spans="1:13" ht="14.25" x14ac:dyDescent="0.2">
      <c r="A460" s="207"/>
      <c r="B460" s="300"/>
      <c r="C460" s="1005"/>
      <c r="D460" s="1006"/>
      <c r="E460" s="998"/>
    </row>
    <row r="461" spans="1:13" x14ac:dyDescent="0.25">
      <c r="A461" s="273"/>
      <c r="B461" s="163"/>
      <c r="C461" s="300"/>
      <c r="D461" s="1011"/>
      <c r="E461" s="1012" t="s">
        <v>779</v>
      </c>
      <c r="F461" s="169"/>
      <c r="G461" s="169"/>
      <c r="J461" s="301"/>
      <c r="K461" s="302"/>
      <c r="L461" s="302" t="s">
        <v>780</v>
      </c>
      <c r="M461" s="1013"/>
    </row>
    <row r="462" spans="1:13" x14ac:dyDescent="0.25">
      <c r="A462" s="273"/>
      <c r="B462" s="163"/>
      <c r="C462" s="300"/>
      <c r="D462" s="1005"/>
      <c r="E462" s="998"/>
      <c r="F462" s="169"/>
      <c r="G462" s="169"/>
      <c r="J462" s="303"/>
      <c r="K462" s="276"/>
      <c r="L462" s="169"/>
      <c r="M462" s="1014"/>
    </row>
    <row r="463" spans="1:13" x14ac:dyDescent="0.25">
      <c r="A463" s="273"/>
      <c r="B463" s="163"/>
      <c r="C463" s="300"/>
      <c r="D463" s="1015" t="s">
        <v>994</v>
      </c>
      <c r="E463" s="1016" t="s">
        <v>995</v>
      </c>
      <c r="F463" s="1017" t="s">
        <v>996</v>
      </c>
      <c r="G463" s="169"/>
      <c r="J463" s="303"/>
      <c r="K463" s="276" t="s">
        <v>994</v>
      </c>
      <c r="L463" s="169" t="s">
        <v>995</v>
      </c>
      <c r="M463" s="1014"/>
    </row>
    <row r="464" spans="1:13" x14ac:dyDescent="0.25">
      <c r="A464" s="273"/>
      <c r="B464" s="163"/>
      <c r="C464" s="300"/>
      <c r="D464" s="1005"/>
      <c r="E464" s="998"/>
      <c r="F464" s="1006"/>
      <c r="G464" s="169"/>
      <c r="J464" s="303"/>
      <c r="K464" s="276"/>
      <c r="L464" s="169"/>
      <c r="M464" s="1014"/>
    </row>
    <row r="465" spans="1:13" x14ac:dyDescent="0.25">
      <c r="A465" s="273"/>
      <c r="B465" s="163"/>
      <c r="C465" s="300"/>
      <c r="D465" s="1005"/>
      <c r="E465" s="998"/>
      <c r="G465" s="169"/>
      <c r="J465" s="303"/>
      <c r="K465" s="276"/>
      <c r="L465" s="169"/>
      <c r="M465" s="1014" t="s">
        <v>996</v>
      </c>
    </row>
    <row r="466" spans="1:13" x14ac:dyDescent="0.25">
      <c r="A466" s="273"/>
      <c r="B466" s="163"/>
      <c r="C466" s="300"/>
      <c r="D466" s="1005">
        <f>D34*10^7/10</f>
        <v>25918496225.999996</v>
      </c>
      <c r="E466" s="998">
        <v>365</v>
      </c>
      <c r="F466" s="1006">
        <f t="shared" ref="F466:F471" si="23">+D466*E466</f>
        <v>9460251122489.998</v>
      </c>
      <c r="G466" s="169"/>
      <c r="J466" s="303"/>
      <c r="K466" s="996">
        <v>25450446225.999996</v>
      </c>
      <c r="L466" s="997">
        <v>365</v>
      </c>
      <c r="M466" s="304">
        <v>9289412872489.998</v>
      </c>
    </row>
    <row r="467" spans="1:13" x14ac:dyDescent="0.25">
      <c r="A467" s="273"/>
      <c r="B467" s="305">
        <f>DATE(2023,3,31)</f>
        <v>45016</v>
      </c>
      <c r="C467" s="306">
        <v>44818</v>
      </c>
      <c r="D467" s="307">
        <v>319500000</v>
      </c>
      <c r="E467" s="1007">
        <f>+B467-C467+1</f>
        <v>199</v>
      </c>
      <c r="F467" s="1006">
        <f t="shared" si="23"/>
        <v>63580500000</v>
      </c>
      <c r="G467" s="169"/>
      <c r="J467" s="303"/>
      <c r="K467" s="996">
        <v>-31950000</v>
      </c>
      <c r="L467" s="997">
        <v>177</v>
      </c>
      <c r="M467" s="304">
        <v>-5655150000</v>
      </c>
    </row>
    <row r="468" spans="1:13" x14ac:dyDescent="0.25">
      <c r="A468" s="273"/>
      <c r="B468" s="305">
        <f t="shared" ref="B468:B471" si="24">DATE(2023,3,31)</f>
        <v>45016</v>
      </c>
      <c r="C468" s="306">
        <v>45016</v>
      </c>
      <c r="D468" s="307">
        <v>591910000</v>
      </c>
      <c r="E468" s="1007">
        <f>+B468-C468+1</f>
        <v>1</v>
      </c>
      <c r="F468" s="1006">
        <f t="shared" si="23"/>
        <v>591910000</v>
      </c>
      <c r="G468" s="169"/>
      <c r="J468" s="303"/>
      <c r="K468" s="187">
        <v>259250000</v>
      </c>
      <c r="L468" s="996">
        <v>123</v>
      </c>
      <c r="M468" s="304">
        <v>31887750000</v>
      </c>
    </row>
    <row r="469" spans="1:13" x14ac:dyDescent="0.25">
      <c r="A469" s="273"/>
      <c r="B469" s="305">
        <f t="shared" si="24"/>
        <v>45016</v>
      </c>
      <c r="C469" s="306">
        <v>44624</v>
      </c>
      <c r="D469" s="307">
        <v>0</v>
      </c>
      <c r="E469" s="1007">
        <f>+B469-C469+1</f>
        <v>393</v>
      </c>
      <c r="F469" s="1006">
        <f t="shared" si="23"/>
        <v>0</v>
      </c>
      <c r="G469" s="169"/>
      <c r="J469" s="303"/>
      <c r="K469" s="276">
        <v>101280000</v>
      </c>
      <c r="L469" s="308">
        <v>28</v>
      </c>
      <c r="M469" s="304">
        <v>2835840000</v>
      </c>
    </row>
    <row r="470" spans="1:13" x14ac:dyDescent="0.25">
      <c r="A470" s="273"/>
      <c r="B470" s="305">
        <f t="shared" si="24"/>
        <v>45016</v>
      </c>
      <c r="C470" s="306">
        <v>44651</v>
      </c>
      <c r="D470" s="307">
        <v>0</v>
      </c>
      <c r="E470" s="1007">
        <f>+B470-C470+1</f>
        <v>366</v>
      </c>
      <c r="F470" s="1006">
        <f t="shared" si="23"/>
        <v>0</v>
      </c>
      <c r="G470" s="169"/>
      <c r="J470" s="303"/>
      <c r="K470" s="276">
        <v>139470000</v>
      </c>
      <c r="L470" s="308">
        <v>1</v>
      </c>
      <c r="M470" s="304">
        <v>139470000</v>
      </c>
    </row>
    <row r="471" spans="1:13" x14ac:dyDescent="0.25">
      <c r="A471" s="273"/>
      <c r="B471" s="305">
        <f t="shared" si="24"/>
        <v>45016</v>
      </c>
      <c r="C471" s="309"/>
      <c r="D471" s="310"/>
      <c r="E471" s="1018">
        <f>+B471-C471+1</f>
        <v>45017</v>
      </c>
      <c r="F471" s="1006">
        <f t="shared" si="23"/>
        <v>0</v>
      </c>
      <c r="G471" s="169"/>
      <c r="J471" s="303"/>
      <c r="K471" s="311"/>
      <c r="L471" s="312">
        <v>1</v>
      </c>
      <c r="M471" s="313">
        <v>0</v>
      </c>
    </row>
    <row r="472" spans="1:13" x14ac:dyDescent="0.25">
      <c r="A472" s="897"/>
      <c r="B472" s="1019" t="s">
        <v>997</v>
      </c>
      <c r="C472" s="314"/>
      <c r="D472" s="1020">
        <f>+F472/E472</f>
        <v>26094311047.917805</v>
      </c>
      <c r="E472" s="315">
        <v>365</v>
      </c>
      <c r="F472" s="1021">
        <f>SUM(F466:F470)</f>
        <v>9524423532489.998</v>
      </c>
      <c r="G472" s="169"/>
      <c r="J472" s="316" t="s">
        <v>997</v>
      </c>
      <c r="K472" s="317">
        <f>+M472/L472</f>
        <v>25530467897.232872</v>
      </c>
      <c r="L472" s="312">
        <v>365</v>
      </c>
      <c r="M472" s="313">
        <f>SUM(M466:M471)</f>
        <v>9318620782489.998</v>
      </c>
    </row>
    <row r="473" spans="1:13" x14ac:dyDescent="0.25">
      <c r="M473" s="274"/>
    </row>
    <row r="479" spans="1:13" ht="10.5" customHeight="1" x14ac:dyDescent="0.25"/>
    <row r="480" spans="1:13" ht="20.25" customHeight="1" x14ac:dyDescent="0.25">
      <c r="A480" s="1022" t="s">
        <v>998</v>
      </c>
      <c r="B480" s="1023"/>
      <c r="E480" s="163"/>
      <c r="F480" s="213"/>
    </row>
    <row r="481" spans="1:10" ht="27.75" customHeight="1" x14ac:dyDescent="0.25">
      <c r="A481" s="1024" t="s">
        <v>999</v>
      </c>
      <c r="B481" s="1025" t="s">
        <v>63</v>
      </c>
      <c r="C481" s="1026"/>
      <c r="D481" s="318" t="str">
        <f>+D78</f>
        <v>2022-23</v>
      </c>
      <c r="E481" s="319" t="str">
        <f>+E78</f>
        <v>2021-22</v>
      </c>
      <c r="F481" s="320" t="s">
        <v>1000</v>
      </c>
      <c r="G481" s="1683" t="s">
        <v>1001</v>
      </c>
      <c r="H481" s="1684"/>
    </row>
    <row r="482" spans="1:10" ht="6" customHeight="1" x14ac:dyDescent="0.25">
      <c r="A482" s="1027"/>
      <c r="B482" s="1028"/>
      <c r="C482" s="1029"/>
      <c r="E482" s="261"/>
      <c r="F482" s="299"/>
      <c r="G482" s="1685"/>
      <c r="H482" s="1686"/>
    </row>
    <row r="483" spans="1:10" x14ac:dyDescent="0.2">
      <c r="A483" s="1030"/>
      <c r="B483" s="177" t="s">
        <v>1002</v>
      </c>
      <c r="C483" s="1031"/>
      <c r="D483" s="536">
        <f>+D26</f>
        <v>35179.573841644007</v>
      </c>
      <c r="E483" s="1032">
        <f>+E26</f>
        <v>30951.208333418999</v>
      </c>
      <c r="F483" s="524"/>
      <c r="G483" s="1685"/>
      <c r="H483" s="1686"/>
    </row>
    <row r="484" spans="1:10" x14ac:dyDescent="0.2">
      <c r="A484" s="1033"/>
      <c r="B484" s="177" t="s">
        <v>1003</v>
      </c>
      <c r="C484" s="1031"/>
      <c r="D484" s="536">
        <f>+D57</f>
        <v>30114.634935918981</v>
      </c>
      <c r="E484" s="1032">
        <f>+E57</f>
        <v>28193.871057550881</v>
      </c>
      <c r="F484" s="524"/>
      <c r="G484" s="1685"/>
      <c r="H484" s="1686"/>
    </row>
    <row r="485" spans="1:10" x14ac:dyDescent="0.2">
      <c r="A485" s="1034">
        <v>1</v>
      </c>
      <c r="B485" s="1035" t="s">
        <v>1004</v>
      </c>
      <c r="C485" s="1036"/>
      <c r="D485" s="322">
        <f>+D483/D484</f>
        <v>1.1681886204665182</v>
      </c>
      <c r="E485" s="323">
        <f>+E483/E484</f>
        <v>1.0977991730982839</v>
      </c>
      <c r="F485" s="1037">
        <f>((ABS(D485/E485)-1))</f>
        <v>6.411869228283007E-2</v>
      </c>
      <c r="G485" s="1685"/>
      <c r="H485" s="1686"/>
    </row>
    <row r="486" spans="1:10" ht="5.25" customHeight="1" x14ac:dyDescent="0.2">
      <c r="A486" s="1038"/>
      <c r="B486" s="177"/>
      <c r="C486" s="1031"/>
      <c r="D486" s="321"/>
      <c r="E486" s="324"/>
      <c r="F486" s="355"/>
      <c r="G486" s="326"/>
      <c r="H486" s="1039"/>
    </row>
    <row r="487" spans="1:10" ht="15" customHeight="1" x14ac:dyDescent="0.2">
      <c r="A487" s="1030"/>
      <c r="B487" s="177" t="s">
        <v>1005</v>
      </c>
      <c r="C487" s="1031"/>
      <c r="D487" s="536">
        <f>+D50</f>
        <v>17272.729860049567</v>
      </c>
      <c r="E487" s="1032">
        <f>+E50</f>
        <v>17299.429266224168</v>
      </c>
      <c r="F487" s="324"/>
      <c r="G487" s="1687"/>
      <c r="H487" s="1688"/>
    </row>
    <row r="488" spans="1:10" x14ac:dyDescent="0.2">
      <c r="A488" s="1033"/>
      <c r="B488" s="177" t="s">
        <v>715</v>
      </c>
      <c r="C488" s="1031"/>
      <c r="D488" s="536">
        <f>+D38</f>
        <v>16975.74892851301</v>
      </c>
      <c r="E488" s="1032">
        <f>+E38</f>
        <v>17695.428451856009</v>
      </c>
      <c r="F488" s="324"/>
      <c r="G488" s="1687"/>
      <c r="H488" s="1688"/>
    </row>
    <row r="489" spans="1:10" x14ac:dyDescent="0.2">
      <c r="A489" s="1034">
        <v>2</v>
      </c>
      <c r="B489" s="1035" t="s">
        <v>1006</v>
      </c>
      <c r="C489" s="1036"/>
      <c r="D489" s="322">
        <f>+D487/D488</f>
        <v>1.0174944229434106</v>
      </c>
      <c r="E489" s="323">
        <f>+E487/E488</f>
        <v>0.97762138471474502</v>
      </c>
      <c r="F489" s="1037">
        <f>((ABS(D489/E489)-1))</f>
        <v>4.0785767222450753E-2</v>
      </c>
      <c r="G489" s="1689"/>
      <c r="H489" s="1690"/>
    </row>
    <row r="490" spans="1:10" ht="15" customHeight="1" x14ac:dyDescent="0.2">
      <c r="A490" s="1038"/>
      <c r="B490" s="177"/>
      <c r="C490" s="1031"/>
      <c r="D490" s="321"/>
      <c r="E490" s="324"/>
      <c r="F490" s="355"/>
      <c r="G490" s="1675" t="s">
        <v>1007</v>
      </c>
      <c r="H490" s="1676"/>
    </row>
    <row r="491" spans="1:10" x14ac:dyDescent="0.2">
      <c r="A491" s="1030"/>
      <c r="B491" s="177" t="s">
        <v>1008</v>
      </c>
      <c r="C491" s="1031"/>
      <c r="D491" s="536">
        <f>+D96+D89+D88</f>
        <v>5322.5412886020003</v>
      </c>
      <c r="E491" s="1032">
        <f>+E96+E89+E88</f>
        <v>4208.0138607129984</v>
      </c>
      <c r="F491" s="324"/>
      <c r="G491" s="1677"/>
      <c r="H491" s="1678"/>
      <c r="J491" s="161">
        <f>+D86-E86</f>
        <v>8358.5457846510035</v>
      </c>
    </row>
    <row r="492" spans="1:10" x14ac:dyDescent="0.2">
      <c r="A492" s="1033"/>
      <c r="B492" s="177" t="s">
        <v>1009</v>
      </c>
      <c r="C492" s="1031"/>
      <c r="D492" s="422">
        <f>+D88+('[15]CFS '!D107+'[15]CFS '!D109)</f>
        <v>7042.1964502820501</v>
      </c>
      <c r="E492" s="399">
        <f>+E88+('[15]CFS '!E107+'[15]CFS '!E109)</f>
        <v>7564.6239660820002</v>
      </c>
      <c r="F492" s="324"/>
      <c r="G492" s="1677"/>
      <c r="H492" s="1678"/>
      <c r="J492" s="161">
        <f>+E366-D366</f>
        <v>-2841.0943157000002</v>
      </c>
    </row>
    <row r="493" spans="1:10" ht="20.25" customHeight="1" x14ac:dyDescent="0.2">
      <c r="A493" s="1034">
        <v>3</v>
      </c>
      <c r="B493" s="1035" t="s">
        <v>1010</v>
      </c>
      <c r="C493" s="1036"/>
      <c r="D493" s="322">
        <f>+D491/D492</f>
        <v>0.75580698808662528</v>
      </c>
      <c r="E493" s="323">
        <f>+E491/E492</f>
        <v>0.5562753521630085</v>
      </c>
      <c r="F493" s="1037">
        <f>((ABS(D493/E493)-1))</f>
        <v>0.35869221087679426</v>
      </c>
      <c r="G493" s="1679"/>
      <c r="H493" s="1680"/>
    </row>
    <row r="494" spans="1:10" ht="20.25" customHeight="1" x14ac:dyDescent="0.2">
      <c r="A494" s="1038"/>
      <c r="B494" s="177"/>
      <c r="C494" s="1031"/>
      <c r="D494" s="321"/>
      <c r="E494" s="324"/>
      <c r="F494" s="355"/>
      <c r="G494" s="1675" t="s">
        <v>1011</v>
      </c>
      <c r="H494" s="1676"/>
    </row>
    <row r="495" spans="1:10" x14ac:dyDescent="0.2">
      <c r="A495" s="1030"/>
      <c r="B495" s="177" t="s">
        <v>1012</v>
      </c>
      <c r="C495" s="1031"/>
      <c r="D495" s="536">
        <f>+D108</f>
        <v>-810.82052673700082</v>
      </c>
      <c r="E495" s="1032">
        <f>+E108</f>
        <v>-1682.8841725980021</v>
      </c>
      <c r="F495" s="324"/>
      <c r="G495" s="1677"/>
      <c r="H495" s="1678"/>
    </row>
    <row r="496" spans="1:10" x14ac:dyDescent="0.2">
      <c r="A496" s="1033"/>
      <c r="B496" s="177" t="s">
        <v>1013</v>
      </c>
      <c r="C496" s="1031"/>
      <c r="D496" s="536">
        <f>(D38+E38)/2</f>
        <v>17335.588690184508</v>
      </c>
      <c r="E496" s="1032">
        <f>(E38+F38)/2</f>
        <v>18302.845534067765</v>
      </c>
      <c r="F496" s="324"/>
      <c r="G496" s="1677"/>
      <c r="H496" s="1678"/>
    </row>
    <row r="497" spans="1:8" x14ac:dyDescent="0.2">
      <c r="A497" s="1034">
        <v>4</v>
      </c>
      <c r="B497" s="1035" t="s">
        <v>1014</v>
      </c>
      <c r="C497" s="1036"/>
      <c r="D497" s="1040">
        <f>+D495/D496</f>
        <v>-4.6772021488724592E-2</v>
      </c>
      <c r="E497" s="1041">
        <f>+E495/E496</f>
        <v>-9.1946586636793032E-2</v>
      </c>
      <c r="F497" s="1042">
        <f>((ABS(D497/E497)-1))</f>
        <v>-0.49131312863757293</v>
      </c>
      <c r="G497" s="1679"/>
      <c r="H497" s="1680"/>
    </row>
    <row r="498" spans="1:8" ht="8.25" customHeight="1" x14ac:dyDescent="0.2">
      <c r="A498" s="1038"/>
      <c r="B498" s="177"/>
      <c r="C498" s="1031"/>
      <c r="D498" s="321"/>
      <c r="E498" s="355"/>
      <c r="F498" s="355"/>
      <c r="G498" s="326"/>
      <c r="H498" s="1013"/>
    </row>
    <row r="499" spans="1:8" x14ac:dyDescent="0.2">
      <c r="A499" s="1030"/>
      <c r="B499" s="177" t="s">
        <v>1015</v>
      </c>
      <c r="C499" s="1031"/>
      <c r="D499" s="536">
        <f>+D86</f>
        <v>23982.989425080999</v>
      </c>
      <c r="E499" s="1032">
        <f>+E86</f>
        <v>15624.443640429996</v>
      </c>
      <c r="F499" s="324"/>
      <c r="G499"/>
      <c r="H499" s="1014"/>
    </row>
    <row r="500" spans="1:8" x14ac:dyDescent="0.2">
      <c r="A500" s="1033"/>
      <c r="B500" s="177" t="s">
        <v>1016</v>
      </c>
      <c r="C500" s="1031"/>
      <c r="D500" s="1043">
        <f>(D201+E201)/2</f>
        <v>1685.2718846509997</v>
      </c>
      <c r="E500" s="1044">
        <f>(E201+F201)/2</f>
        <v>1092.9232842049996</v>
      </c>
      <c r="F500" s="324"/>
      <c r="H500" s="1014"/>
    </row>
    <row r="501" spans="1:8" x14ac:dyDescent="0.2">
      <c r="A501" s="1034">
        <v>5</v>
      </c>
      <c r="B501" s="1035" t="s">
        <v>1017</v>
      </c>
      <c r="C501" s="1036"/>
      <c r="D501" s="328">
        <f>+D499/D500</f>
        <v>14.230931900965997</v>
      </c>
      <c r="E501" s="329">
        <f>+E499/E500</f>
        <v>14.296011317752582</v>
      </c>
      <c r="F501" s="1042">
        <f>((D501/E501)-1)</f>
        <v>-4.5522779284435932E-3</v>
      </c>
      <c r="G501" s="213"/>
      <c r="H501" s="830"/>
    </row>
    <row r="502" spans="1:8" ht="7.5" customHeight="1" x14ac:dyDescent="0.2">
      <c r="A502" s="1038"/>
      <c r="B502" s="177"/>
      <c r="C502" s="1031"/>
      <c r="D502" s="321"/>
      <c r="E502" s="324"/>
      <c r="F502" s="355"/>
      <c r="G502" s="1691"/>
      <c r="H502" s="1692"/>
    </row>
    <row r="503" spans="1:8" x14ac:dyDescent="0.2">
      <c r="A503" s="1030"/>
      <c r="B503" s="177" t="s">
        <v>1018</v>
      </c>
      <c r="C503" s="1031"/>
      <c r="D503" s="536">
        <f>+D81</f>
        <v>28887.792758649004</v>
      </c>
      <c r="E503" s="1032">
        <f>+E81</f>
        <v>21951.027246148002</v>
      </c>
      <c r="F503" s="324"/>
      <c r="G503" s="1685"/>
      <c r="H503" s="1686"/>
    </row>
    <row r="504" spans="1:8" x14ac:dyDescent="0.2">
      <c r="A504" s="1033"/>
      <c r="B504" s="177" t="s">
        <v>1019</v>
      </c>
      <c r="C504" s="1031"/>
      <c r="D504" s="1043">
        <f>(D208+E208)/2</f>
        <v>30012.332867727004</v>
      </c>
      <c r="E504" s="1044">
        <f>(E208+F208)/2</f>
        <v>27840.998051553004</v>
      </c>
      <c r="F504" s="324"/>
      <c r="G504" s="1685"/>
      <c r="H504" s="1686"/>
    </row>
    <row r="505" spans="1:8" ht="21.75" customHeight="1" x14ac:dyDescent="0.2">
      <c r="A505" s="1034">
        <v>6</v>
      </c>
      <c r="B505" s="1035" t="s">
        <v>1020</v>
      </c>
      <c r="C505" s="1036"/>
      <c r="D505" s="328">
        <f>+D503/D504</f>
        <v>0.96253073314779725</v>
      </c>
      <c r="E505" s="329">
        <f>+E503/E504</f>
        <v>0.78844254094272848</v>
      </c>
      <c r="F505" s="1042">
        <f>((D505/E505)-1)</f>
        <v>0.22080010040670084</v>
      </c>
      <c r="G505" s="1693"/>
      <c r="H505" s="1694"/>
    </row>
    <row r="506" spans="1:8" ht="5.25" customHeight="1" x14ac:dyDescent="0.2">
      <c r="A506" s="1038"/>
      <c r="B506" s="177"/>
      <c r="C506" s="1031"/>
      <c r="D506" s="321"/>
      <c r="E506" s="324"/>
      <c r="F506" s="355"/>
      <c r="G506" s="326"/>
      <c r="H506" s="1013"/>
    </row>
    <row r="507" spans="1:8" x14ac:dyDescent="0.2">
      <c r="A507" s="1030"/>
      <c r="B507" s="177" t="s">
        <v>1018</v>
      </c>
      <c r="C507" s="1031"/>
      <c r="D507" s="536">
        <f>+D503</f>
        <v>28887.792758649004</v>
      </c>
      <c r="E507" s="1032">
        <f>+E503</f>
        <v>21951.027246148002</v>
      </c>
      <c r="F507" s="324"/>
      <c r="H507" s="1014"/>
    </row>
    <row r="508" spans="1:8" x14ac:dyDescent="0.2">
      <c r="A508" s="1033"/>
      <c r="B508" s="177" t="s">
        <v>1021</v>
      </c>
      <c r="C508" s="1031"/>
      <c r="D508" s="1043">
        <f>(D312+E312)/2</f>
        <v>7378.3137231789988</v>
      </c>
      <c r="E508" s="1044">
        <f>(E312+F312)/2</f>
        <v>6344.9710251279985</v>
      </c>
      <c r="F508" s="324"/>
      <c r="H508" s="1014"/>
    </row>
    <row r="509" spans="1:8" x14ac:dyDescent="0.2">
      <c r="A509" s="1034">
        <v>7</v>
      </c>
      <c r="B509" s="1035" t="s">
        <v>1022</v>
      </c>
      <c r="C509" s="1036"/>
      <c r="D509" s="328">
        <f>+D507/D508</f>
        <v>3.9152296639133004</v>
      </c>
      <c r="E509" s="329">
        <f>+E507/E508</f>
        <v>3.4595945606710123</v>
      </c>
      <c r="F509" s="1042">
        <f>((D509/E509)-1)</f>
        <v>0.1317018787178097</v>
      </c>
      <c r="G509" s="213"/>
      <c r="H509" s="830"/>
    </row>
    <row r="510" spans="1:8" ht="6" customHeight="1" x14ac:dyDescent="0.2">
      <c r="A510" s="1038"/>
      <c r="B510" s="177"/>
      <c r="C510" s="1031"/>
      <c r="D510" s="321"/>
      <c r="E510" s="324"/>
      <c r="F510" s="355"/>
      <c r="G510" s="326"/>
      <c r="H510" s="1013"/>
    </row>
    <row r="511" spans="1:8" ht="15" hidden="1" customHeight="1" x14ac:dyDescent="0.2">
      <c r="A511" s="1030"/>
      <c r="B511" s="177"/>
      <c r="C511" s="1031"/>
      <c r="D511" s="321"/>
      <c r="E511" s="324"/>
      <c r="F511" s="324"/>
      <c r="G511" s="1685" t="s">
        <v>1023</v>
      </c>
      <c r="H511" s="1686"/>
    </row>
    <row r="512" spans="1:8" x14ac:dyDescent="0.2">
      <c r="A512" s="1030"/>
      <c r="B512" s="177" t="s">
        <v>1018</v>
      </c>
      <c r="C512" s="1031"/>
      <c r="D512" s="536">
        <f>+D507</f>
        <v>28887.792758649004</v>
      </c>
      <c r="E512" s="1032">
        <f>+E507</f>
        <v>21951.027246148002</v>
      </c>
      <c r="F512" s="324"/>
      <c r="G512" s="1685"/>
      <c r="H512" s="1686"/>
    </row>
    <row r="513" spans="1:8" x14ac:dyDescent="0.2">
      <c r="A513" s="1033"/>
      <c r="B513" s="177" t="s">
        <v>1024</v>
      </c>
      <c r="C513" s="1031"/>
      <c r="D513" s="536">
        <f>+D38</f>
        <v>16975.74892851301</v>
      </c>
      <c r="E513" s="1032">
        <f>+E38</f>
        <v>17695.428451856009</v>
      </c>
      <c r="F513" s="324"/>
      <c r="G513" s="1685"/>
      <c r="H513" s="1686"/>
    </row>
    <row r="514" spans="1:8" ht="21.75" customHeight="1" x14ac:dyDescent="0.2">
      <c r="A514" s="1034">
        <v>8</v>
      </c>
      <c r="B514" s="1035" t="s">
        <v>1025</v>
      </c>
      <c r="C514" s="1036"/>
      <c r="D514" s="322">
        <f>+D512/D513</f>
        <v>1.7017094727483948</v>
      </c>
      <c r="E514" s="323">
        <f>+E512/E513</f>
        <v>1.2404914244303387</v>
      </c>
      <c r="F514" s="1042">
        <f>((D514/E514)-1)</f>
        <v>0.37180268983306974</v>
      </c>
      <c r="G514" s="1693"/>
      <c r="H514" s="1694"/>
    </row>
    <row r="515" spans="1:8" ht="15" customHeight="1" x14ac:dyDescent="0.2">
      <c r="A515" s="1038"/>
      <c r="B515" s="177"/>
      <c r="C515" s="1031"/>
      <c r="D515" s="321"/>
      <c r="E515" s="324"/>
      <c r="F515" s="355"/>
      <c r="G515" s="1675" t="s">
        <v>1026</v>
      </c>
      <c r="H515" s="1676"/>
    </row>
    <row r="516" spans="1:8" x14ac:dyDescent="0.2">
      <c r="A516" s="1030"/>
      <c r="B516" s="177" t="s">
        <v>1012</v>
      </c>
      <c r="C516" s="1031"/>
      <c r="D516" s="536">
        <f>+D495</f>
        <v>-810.82052673700082</v>
      </c>
      <c r="E516" s="1032">
        <f>+E495</f>
        <v>-1682.8841725980021</v>
      </c>
      <c r="F516" s="324"/>
      <c r="G516" s="1677"/>
      <c r="H516" s="1678"/>
    </row>
    <row r="517" spans="1:8" x14ac:dyDescent="0.2">
      <c r="A517" s="1033"/>
      <c r="B517" s="177" t="s">
        <v>1027</v>
      </c>
      <c r="C517" s="1031"/>
      <c r="D517" s="536">
        <f>+D507</f>
        <v>28887.792758649004</v>
      </c>
      <c r="E517" s="1032">
        <f>+E507</f>
        <v>21951.027246148002</v>
      </c>
      <c r="F517" s="324"/>
      <c r="G517" s="1677"/>
      <c r="H517" s="1678"/>
    </row>
    <row r="518" spans="1:8" ht="21" customHeight="1" x14ac:dyDescent="0.2">
      <c r="A518" s="1034">
        <v>9</v>
      </c>
      <c r="B518" s="1035" t="s">
        <v>1028</v>
      </c>
      <c r="C518" s="1036"/>
      <c r="D518" s="1040">
        <f>+D516/D517</f>
        <v>-2.8067929367647557E-2</v>
      </c>
      <c r="E518" s="1041">
        <f>+E516/E517</f>
        <v>-7.6665394914186405E-2</v>
      </c>
      <c r="F518" s="1042">
        <f>((D518/E518)-1)</f>
        <v>-0.63389050041332562</v>
      </c>
      <c r="G518" s="1679"/>
      <c r="H518" s="1680"/>
    </row>
    <row r="519" spans="1:8" ht="19.5" customHeight="1" x14ac:dyDescent="0.2">
      <c r="A519" s="1038"/>
      <c r="B519" s="177"/>
      <c r="C519" s="1031"/>
      <c r="D519" s="321"/>
      <c r="E519" s="324"/>
      <c r="F519" s="355"/>
      <c r="G519" s="1675" t="s">
        <v>1026</v>
      </c>
      <c r="H519" s="1676"/>
    </row>
    <row r="520" spans="1:8" x14ac:dyDescent="0.2">
      <c r="A520" s="1030"/>
      <c r="B520" s="177" t="s">
        <v>1029</v>
      </c>
      <c r="C520" s="1031"/>
      <c r="D520" s="536">
        <f>+D96+D88</f>
        <v>2479.7026636420001</v>
      </c>
      <c r="E520" s="1032">
        <f>+E96+E88</f>
        <v>1419.9309601479981</v>
      </c>
      <c r="F520" s="324"/>
      <c r="G520" s="1677"/>
      <c r="H520" s="1678"/>
    </row>
    <row r="521" spans="1:8" x14ac:dyDescent="0.2">
      <c r="A521" s="1033"/>
      <c r="B521" s="177" t="s">
        <v>1030</v>
      </c>
      <c r="C521" s="1031"/>
      <c r="D521" s="536">
        <f>+D30-D57</f>
        <v>46732.058154202023</v>
      </c>
      <c r="E521" s="1032">
        <f>+E30-E57</f>
        <v>44934.186711413109</v>
      </c>
      <c r="F521" s="324"/>
      <c r="G521" s="1677"/>
      <c r="H521" s="1678"/>
    </row>
    <row r="522" spans="1:8" x14ac:dyDescent="0.2">
      <c r="A522" s="1034">
        <v>10</v>
      </c>
      <c r="B522" s="1035" t="s">
        <v>1031</v>
      </c>
      <c r="C522" s="1036"/>
      <c r="D522" s="1040">
        <f>+D520/D521</f>
        <v>5.3062132539930341E-2</v>
      </c>
      <c r="E522" s="1041">
        <f>+E520/E521</f>
        <v>3.1600237237349199E-2</v>
      </c>
      <c r="F522" s="1042">
        <f>((D522/E522)-1)</f>
        <v>0.67916880311312133</v>
      </c>
      <c r="G522" s="1679"/>
      <c r="H522" s="1680"/>
    </row>
    <row r="523" spans="1:8" ht="15" customHeight="1" x14ac:dyDescent="0.2">
      <c r="A523" s="1038"/>
      <c r="B523" s="177"/>
      <c r="C523" s="1031"/>
      <c r="D523" s="321"/>
      <c r="E523" s="324"/>
      <c r="F523" s="524"/>
      <c r="G523" s="1675" t="s">
        <v>1026</v>
      </c>
      <c r="H523" s="1676"/>
    </row>
    <row r="524" spans="1:8" x14ac:dyDescent="0.2">
      <c r="A524" s="1030"/>
      <c r="B524" s="177" t="s">
        <v>1029</v>
      </c>
      <c r="C524" s="1031"/>
      <c r="D524" s="536">
        <f>+D520</f>
        <v>2479.7026636420001</v>
      </c>
      <c r="E524" s="1032">
        <f>+E520</f>
        <v>1419.9309601479981</v>
      </c>
      <c r="F524" s="524"/>
      <c r="G524" s="1677"/>
      <c r="H524" s="1678"/>
    </row>
    <row r="525" spans="1:8" ht="19.5" customHeight="1" x14ac:dyDescent="0.2">
      <c r="A525" s="1033"/>
      <c r="B525" s="177" t="s">
        <v>1032</v>
      </c>
      <c r="C525" s="1031"/>
      <c r="D525" s="536">
        <f>+D38+D42</f>
        <v>41663.088313410437</v>
      </c>
      <c r="E525" s="1032">
        <f>+E38+E42</f>
        <v>39906.619662634839</v>
      </c>
      <c r="F525" s="524"/>
      <c r="G525" s="1677"/>
      <c r="H525" s="1678"/>
    </row>
    <row r="526" spans="1:8" x14ac:dyDescent="0.2">
      <c r="A526" s="1034">
        <v>11</v>
      </c>
      <c r="B526" s="1035" t="s">
        <v>1033</v>
      </c>
      <c r="C526" s="1036"/>
      <c r="D526" s="1040">
        <f>+D524/D525</f>
        <v>5.9517975359590372E-2</v>
      </c>
      <c r="E526" s="1041">
        <f>+E524/E525</f>
        <v>3.558133893955194E-2</v>
      </c>
      <c r="F526" s="1045">
        <f>((D526/E526)-1)</f>
        <v>0.67273006394457657</v>
      </c>
      <c r="G526" s="1679"/>
      <c r="H526" s="1680"/>
    </row>
  </sheetData>
  <mergeCells count="11">
    <mergeCell ref="G502:H505"/>
    <mergeCell ref="G511:H514"/>
    <mergeCell ref="G515:H518"/>
    <mergeCell ref="G519:H522"/>
    <mergeCell ref="G523:H526"/>
    <mergeCell ref="G494:H497"/>
    <mergeCell ref="B59:C59"/>
    <mergeCell ref="G481:H481"/>
    <mergeCell ref="G482:H485"/>
    <mergeCell ref="G487:H489"/>
    <mergeCell ref="G490:H49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35"/>
  <sheetViews>
    <sheetView showGridLines="0" view="pageBreakPreview" zoomScale="90" zoomScaleSheetLayoutView="90" workbookViewId="0">
      <selection activeCell="G27" sqref="G27"/>
    </sheetView>
  </sheetViews>
  <sheetFormatPr defaultColWidth="9.140625" defaultRowHeight="15" x14ac:dyDescent="0.2"/>
  <cols>
    <col min="1" max="1" width="7.28515625" style="3" customWidth="1"/>
    <col min="2" max="3" width="6.42578125" style="3" customWidth="1"/>
    <col min="4" max="4" width="52.5703125" style="3" customWidth="1"/>
    <col min="5" max="5" width="8.85546875" style="4" bestFit="1" customWidth="1"/>
    <col min="6" max="6" width="25.7109375" style="13" customWidth="1"/>
    <col min="7" max="7" width="29.7109375" style="13" customWidth="1"/>
    <col min="8" max="8" width="17.5703125" style="3" bestFit="1" customWidth="1"/>
    <col min="9" max="9" width="22" style="3" bestFit="1" customWidth="1"/>
    <col min="10" max="10" width="16.5703125" style="3" bestFit="1" customWidth="1"/>
    <col min="11" max="16384" width="9.140625" style="3"/>
  </cols>
  <sheetData>
    <row r="1" spans="1:10" x14ac:dyDescent="0.2">
      <c r="C1" s="1643" t="s">
        <v>0</v>
      </c>
      <c r="D1" s="1643"/>
      <c r="E1" s="1643"/>
      <c r="F1" s="1643"/>
      <c r="G1" s="1643"/>
    </row>
    <row r="2" spans="1:10" x14ac:dyDescent="0.2">
      <c r="E2" s="1" t="s">
        <v>1</v>
      </c>
    </row>
    <row r="3" spans="1:10" x14ac:dyDescent="0.2">
      <c r="E3" s="2" t="s">
        <v>123</v>
      </c>
    </row>
    <row r="5" spans="1:10" x14ac:dyDescent="0.2">
      <c r="G5" s="37" t="s">
        <v>61</v>
      </c>
    </row>
    <row r="6" spans="1:10" ht="28.5" x14ac:dyDescent="0.2">
      <c r="A6" s="36" t="s">
        <v>62</v>
      </c>
      <c r="B6" s="1648" t="s">
        <v>63</v>
      </c>
      <c r="C6" s="1648"/>
      <c r="D6" s="1648"/>
      <c r="E6" s="36" t="str">
        <f>'Balance sheet'!E10</f>
        <v>Note No.</v>
      </c>
      <c r="F6" s="6" t="s">
        <v>65</v>
      </c>
      <c r="G6" s="6" t="s">
        <v>66</v>
      </c>
    </row>
    <row r="7" spans="1:10" x14ac:dyDescent="0.2">
      <c r="A7" s="28">
        <v>1</v>
      </c>
      <c r="B7" s="27" t="s">
        <v>124</v>
      </c>
      <c r="C7" s="27"/>
      <c r="D7" s="10"/>
      <c r="E7" s="28">
        <v>20</v>
      </c>
      <c r="F7" s="35">
        <f>+'20 &amp; 21'!D9+'20 &amp; 21'!D10</f>
        <v>28887.792758649004</v>
      </c>
      <c r="G7" s="35">
        <f>+'20 &amp; 21'!E9+'20 &amp; 21'!E10</f>
        <v>21951.027246148002</v>
      </c>
      <c r="H7" s="15"/>
      <c r="I7" s="15"/>
      <c r="J7" s="15"/>
    </row>
    <row r="8" spans="1:10" x14ac:dyDescent="0.2">
      <c r="A8" s="28">
        <v>2</v>
      </c>
      <c r="B8" s="29" t="s">
        <v>125</v>
      </c>
      <c r="C8" s="29"/>
      <c r="D8" s="10"/>
      <c r="E8" s="28">
        <v>21</v>
      </c>
      <c r="F8" s="35">
        <f>+'20 &amp; 21'!D41</f>
        <v>4199.4453070320005</v>
      </c>
      <c r="G8" s="35">
        <f>+'20 &amp; 21'!E41</f>
        <v>1331.6756587420002</v>
      </c>
      <c r="H8" s="15"/>
      <c r="I8" s="15"/>
      <c r="J8" s="15"/>
    </row>
    <row r="9" spans="1:10" x14ac:dyDescent="0.2">
      <c r="A9" s="28"/>
      <c r="B9" s="29" t="s">
        <v>126</v>
      </c>
      <c r="C9" s="29"/>
      <c r="D9" s="10"/>
      <c r="E9" s="28"/>
      <c r="F9" s="35"/>
      <c r="G9" s="35"/>
      <c r="H9" s="15"/>
      <c r="I9" s="15"/>
      <c r="J9" s="15"/>
    </row>
    <row r="10" spans="1:10" x14ac:dyDescent="0.2">
      <c r="A10" s="28"/>
      <c r="B10" s="29" t="s">
        <v>127</v>
      </c>
      <c r="C10" s="29"/>
      <c r="D10" s="10"/>
      <c r="E10" s="28"/>
      <c r="F10" s="35">
        <f>+'20 &amp; 21'!D22</f>
        <v>235.81737150599997</v>
      </c>
      <c r="G10" s="35">
        <f>+'20 &amp; 21'!E22</f>
        <v>232.96699720200002</v>
      </c>
      <c r="H10" s="15"/>
      <c r="I10" s="15"/>
      <c r="J10" s="15"/>
    </row>
    <row r="11" spans="1:10" x14ac:dyDescent="0.2">
      <c r="A11" s="28">
        <v>3</v>
      </c>
      <c r="B11" s="30" t="s">
        <v>128</v>
      </c>
      <c r="C11" s="30"/>
      <c r="D11" s="10"/>
      <c r="E11" s="25"/>
      <c r="F11" s="1595">
        <f>SUM(F7:F10)</f>
        <v>33323.055437187002</v>
      </c>
      <c r="G11" s="1595">
        <f>SUM(G7:G10)</f>
        <v>23515.669902091999</v>
      </c>
      <c r="H11" s="15"/>
      <c r="I11" s="15"/>
      <c r="J11" s="15"/>
    </row>
    <row r="12" spans="1:10" x14ac:dyDescent="0.2">
      <c r="A12" s="42">
        <v>4</v>
      </c>
      <c r="B12" s="1649" t="s">
        <v>129</v>
      </c>
      <c r="C12" s="1649"/>
      <c r="D12" s="1649"/>
      <c r="E12" s="25"/>
      <c r="F12" s="1597"/>
      <c r="G12" s="1597"/>
      <c r="H12" s="15"/>
      <c r="I12" s="15"/>
      <c r="J12" s="15"/>
    </row>
    <row r="13" spans="1:10" x14ac:dyDescent="0.2">
      <c r="A13" s="42"/>
      <c r="B13" s="31" t="s">
        <v>130</v>
      </c>
      <c r="C13" s="1651" t="s">
        <v>131</v>
      </c>
      <c r="D13" s="1652"/>
      <c r="E13" s="28">
        <v>22</v>
      </c>
      <c r="F13" s="1597">
        <f>+'22 &amp; 22.1'!D15</f>
        <v>23704.717391180999</v>
      </c>
      <c r="G13" s="1597">
        <f>+'22 &amp; 22.1'!E15</f>
        <v>15236.330075129996</v>
      </c>
      <c r="H13" s="15"/>
      <c r="I13" s="15"/>
      <c r="J13" s="15"/>
    </row>
    <row r="14" spans="1:10" x14ac:dyDescent="0.2">
      <c r="A14" s="42"/>
      <c r="B14" s="31" t="s">
        <v>132</v>
      </c>
      <c r="C14" s="1651" t="s">
        <v>133</v>
      </c>
      <c r="D14" s="1652"/>
      <c r="E14" s="28">
        <v>22.1</v>
      </c>
      <c r="F14" s="1597">
        <f>+'22 &amp; 22.1'!D27</f>
        <v>278.2720339</v>
      </c>
      <c r="G14" s="1597">
        <f>+'22 &amp; 22.1'!E27</f>
        <v>388.1135653</v>
      </c>
      <c r="H14" s="15"/>
      <c r="I14" s="15"/>
      <c r="J14" s="15"/>
    </row>
    <row r="15" spans="1:10" x14ac:dyDescent="0.2">
      <c r="A15" s="28"/>
      <c r="B15" s="28" t="s">
        <v>73</v>
      </c>
      <c r="C15" s="1651" t="s">
        <v>134</v>
      </c>
      <c r="D15" s="1652"/>
      <c r="E15" s="28">
        <v>23</v>
      </c>
      <c r="F15" s="35">
        <f>+'23'!D39</f>
        <v>1725.834106587</v>
      </c>
      <c r="G15" s="35">
        <f>+'23'!E39</f>
        <v>1714.0533396150001</v>
      </c>
      <c r="H15" s="15"/>
      <c r="I15" s="15"/>
      <c r="J15" s="15"/>
    </row>
    <row r="16" spans="1:10" x14ac:dyDescent="0.2">
      <c r="A16" s="28"/>
      <c r="B16" s="28" t="s">
        <v>85</v>
      </c>
      <c r="C16" s="1651" t="s">
        <v>135</v>
      </c>
      <c r="D16" s="1652"/>
      <c r="E16" s="28">
        <v>24</v>
      </c>
      <c r="F16" s="35">
        <f>+'24 &amp; 25'!D17</f>
        <v>3493.1497996790008</v>
      </c>
      <c r="G16" s="35">
        <f>+'24 &amp; 25'!E17</f>
        <v>3523.5377632460004</v>
      </c>
      <c r="H16" s="15"/>
      <c r="I16" s="15"/>
      <c r="J16" s="15"/>
    </row>
    <row r="17" spans="1:10" x14ac:dyDescent="0.2">
      <c r="A17" s="28"/>
      <c r="B17" s="28" t="s">
        <v>107</v>
      </c>
      <c r="C17" s="1651" t="s">
        <v>136</v>
      </c>
      <c r="D17" s="1652"/>
      <c r="E17" s="28">
        <v>25</v>
      </c>
      <c r="F17" s="35">
        <f>+'24 &amp; 25'!D42</f>
        <v>2842.8386249599998</v>
      </c>
      <c r="G17" s="35">
        <f>+'24 &amp; 25'!E42</f>
        <v>2788.0829005200007</v>
      </c>
      <c r="H17" s="15"/>
      <c r="I17" s="15"/>
      <c r="J17" s="15"/>
    </row>
    <row r="18" spans="1:10" x14ac:dyDescent="0.2">
      <c r="A18" s="28"/>
      <c r="B18" s="28" t="s">
        <v>114</v>
      </c>
      <c r="C18" s="1651" t="s">
        <v>137</v>
      </c>
      <c r="D18" s="1652"/>
      <c r="E18" s="28"/>
      <c r="F18" s="35"/>
      <c r="G18" s="35"/>
      <c r="H18" s="15"/>
      <c r="I18" s="15"/>
      <c r="J18" s="15"/>
    </row>
    <row r="19" spans="1:10" s="22" customFormat="1" x14ac:dyDescent="0.2">
      <c r="A19" s="28"/>
      <c r="B19" s="28"/>
      <c r="C19" s="28" t="s">
        <v>78</v>
      </c>
      <c r="D19" s="32" t="s">
        <v>138</v>
      </c>
      <c r="E19" s="28">
        <v>26</v>
      </c>
      <c r="F19" s="35">
        <f>+'26'!D18</f>
        <v>1528.335483436</v>
      </c>
      <c r="G19" s="35">
        <f>+'26'!E18</f>
        <v>1331.3980677830002</v>
      </c>
      <c r="H19" s="15"/>
      <c r="I19" s="18"/>
      <c r="J19" s="18"/>
    </row>
    <row r="20" spans="1:10" x14ac:dyDescent="0.2">
      <c r="A20" s="28"/>
      <c r="B20" s="28"/>
      <c r="C20" s="28" t="s">
        <v>80</v>
      </c>
      <c r="D20" s="32" t="s">
        <v>139</v>
      </c>
      <c r="E20" s="28">
        <v>27</v>
      </c>
      <c r="F20" s="35">
        <f>+'27'!D30</f>
        <v>783.10819688100003</v>
      </c>
      <c r="G20" s="35">
        <f>+'27'!E30</f>
        <v>689.268946551</v>
      </c>
      <c r="H20" s="15"/>
      <c r="I20" s="15"/>
      <c r="J20" s="15"/>
    </row>
    <row r="21" spans="1:10" x14ac:dyDescent="0.2">
      <c r="A21" s="28"/>
      <c r="B21" s="28"/>
      <c r="C21" s="28" t="s">
        <v>100</v>
      </c>
      <c r="D21" s="32" t="s">
        <v>140</v>
      </c>
      <c r="E21" s="28">
        <v>28</v>
      </c>
      <c r="F21" s="35"/>
      <c r="G21" s="35"/>
      <c r="H21" s="15"/>
      <c r="I21" s="15"/>
      <c r="J21" s="15"/>
    </row>
    <row r="22" spans="1:10" x14ac:dyDescent="0.2">
      <c r="A22" s="28"/>
      <c r="B22" s="30" t="s">
        <v>141</v>
      </c>
      <c r="C22" s="28"/>
      <c r="D22" s="10"/>
      <c r="E22" s="25"/>
      <c r="F22" s="1595">
        <f>SUM(F13:F21)</f>
        <v>34356.25563662401</v>
      </c>
      <c r="G22" s="1595">
        <f>SUM(G13:G21)</f>
        <v>25670.784658144996</v>
      </c>
      <c r="H22" s="15"/>
      <c r="I22" s="15"/>
      <c r="J22" s="15"/>
    </row>
    <row r="23" spans="1:10" x14ac:dyDescent="0.2">
      <c r="A23" s="28">
        <v>5</v>
      </c>
      <c r="B23" s="30" t="s">
        <v>142</v>
      </c>
      <c r="C23" s="28"/>
      <c r="D23" s="10"/>
      <c r="E23" s="28"/>
      <c r="F23" s="1595">
        <f>+F11-F22</f>
        <v>-1033.2001994370075</v>
      </c>
      <c r="G23" s="1595">
        <f>+G11-G22</f>
        <v>-2155.1147560529971</v>
      </c>
      <c r="H23" s="15"/>
      <c r="I23" s="15"/>
      <c r="J23" s="15"/>
    </row>
    <row r="24" spans="1:10" x14ac:dyDescent="0.2">
      <c r="A24" s="28">
        <v>6</v>
      </c>
      <c r="B24" s="30" t="s">
        <v>143</v>
      </c>
      <c r="C24" s="28"/>
      <c r="D24" s="33"/>
      <c r="E24" s="28"/>
      <c r="F24" s="1597"/>
      <c r="G24" s="1597"/>
      <c r="H24" s="15"/>
      <c r="I24" s="15"/>
      <c r="J24" s="15"/>
    </row>
    <row r="25" spans="1:10" x14ac:dyDescent="0.2">
      <c r="A25" s="28"/>
      <c r="B25" s="28" t="s">
        <v>70</v>
      </c>
      <c r="C25" s="27" t="s">
        <v>144</v>
      </c>
      <c r="D25" s="10"/>
      <c r="E25" s="28">
        <v>29</v>
      </c>
      <c r="F25" s="35"/>
      <c r="G25" s="35"/>
      <c r="H25" s="15"/>
      <c r="I25" s="15"/>
      <c r="J25" s="15"/>
    </row>
    <row r="26" spans="1:10" x14ac:dyDescent="0.2">
      <c r="A26" s="28"/>
      <c r="B26" s="28" t="s">
        <v>71</v>
      </c>
      <c r="C26" s="27" t="s">
        <v>145</v>
      </c>
      <c r="D26" s="10"/>
      <c r="E26" s="28"/>
      <c r="F26" s="35">
        <f>+'28 &amp; 29'!D31</f>
        <v>-222.37967269999999</v>
      </c>
      <c r="G26" s="35">
        <f>+'28 &amp; 29'!E31</f>
        <v>-472.23058350000002</v>
      </c>
      <c r="H26" s="15"/>
      <c r="I26" s="15"/>
      <c r="J26" s="15"/>
    </row>
    <row r="27" spans="1:10" x14ac:dyDescent="0.2">
      <c r="A27" s="135">
        <v>7</v>
      </c>
      <c r="B27" s="1650" t="s">
        <v>146</v>
      </c>
      <c r="C27" s="1650"/>
      <c r="D27" s="1650"/>
      <c r="E27" s="28"/>
      <c r="F27" s="1633">
        <f>+F23-F25-F26</f>
        <v>-810.82052673700753</v>
      </c>
      <c r="G27" s="1633">
        <f>+G23-G25-G26</f>
        <v>-1682.8841725529971</v>
      </c>
      <c r="H27" s="15"/>
      <c r="I27" s="23"/>
      <c r="J27" s="23"/>
    </row>
    <row r="28" spans="1:10" x14ac:dyDescent="0.2">
      <c r="A28" s="28">
        <v>8</v>
      </c>
      <c r="B28" s="30" t="s">
        <v>147</v>
      </c>
      <c r="C28" s="28"/>
      <c r="D28" s="10"/>
      <c r="E28" s="28">
        <v>31</v>
      </c>
      <c r="F28" s="34"/>
      <c r="G28" s="34"/>
      <c r="H28" s="15"/>
      <c r="I28" s="20"/>
    </row>
    <row r="29" spans="1:10" x14ac:dyDescent="0.2">
      <c r="A29" s="28"/>
      <c r="B29" s="28" t="s">
        <v>70</v>
      </c>
      <c r="C29" s="1646" t="s">
        <v>148</v>
      </c>
      <c r="D29" s="1646"/>
      <c r="E29" s="28"/>
      <c r="F29" s="35">
        <f>+'Balance Sheet and P&amp;L'!D121</f>
        <v>-0.30506224627725231</v>
      </c>
      <c r="G29" s="35">
        <f>+'Balance Sheet and P&amp;L'!E121</f>
        <v>-0.64406956732166454</v>
      </c>
      <c r="H29" s="15"/>
      <c r="I29" s="24"/>
    </row>
    <row r="30" spans="1:10" x14ac:dyDescent="0.2">
      <c r="A30" s="28"/>
      <c r="B30" s="28" t="s">
        <v>71</v>
      </c>
      <c r="C30" s="27" t="s">
        <v>149</v>
      </c>
      <c r="D30" s="10"/>
      <c r="E30" s="28"/>
      <c r="F30" s="35">
        <f>+'Balance Sheet and P&amp;L'!D122</f>
        <v>-0.30506224627725231</v>
      </c>
      <c r="G30" s="35">
        <f>+'Balance Sheet and P&amp;L'!E122</f>
        <v>-0.64406956732166454</v>
      </c>
      <c r="H30" s="15"/>
      <c r="I30" s="24"/>
    </row>
    <row r="31" spans="1:10" x14ac:dyDescent="0.2">
      <c r="A31" s="10"/>
      <c r="B31" s="1647" t="str">
        <f>'Balance sheet'!B61</f>
        <v>The accompaning Notes are an integral part of financial statements</v>
      </c>
      <c r="C31" s="1647"/>
      <c r="D31" s="1647"/>
      <c r="E31" s="1647"/>
      <c r="F31" s="1647"/>
      <c r="G31" s="1647"/>
      <c r="I31" s="24"/>
    </row>
    <row r="33" spans="1:2" x14ac:dyDescent="0.2">
      <c r="A33" s="22" t="s">
        <v>150</v>
      </c>
      <c r="B33" s="3" t="s">
        <v>151</v>
      </c>
    </row>
    <row r="34" spans="1:2" x14ac:dyDescent="0.2">
      <c r="B34" s="3" t="s">
        <v>152</v>
      </c>
    </row>
    <row r="35" spans="1:2" x14ac:dyDescent="0.2">
      <c r="B35" s="3" t="s">
        <v>153</v>
      </c>
    </row>
  </sheetData>
  <mergeCells count="12">
    <mergeCell ref="C1:G1"/>
    <mergeCell ref="C29:D29"/>
    <mergeCell ref="B31:G31"/>
    <mergeCell ref="B6:D6"/>
    <mergeCell ref="B12:D12"/>
    <mergeCell ref="B27:D27"/>
    <mergeCell ref="C14:D14"/>
    <mergeCell ref="C13:D13"/>
    <mergeCell ref="C15:D15"/>
    <mergeCell ref="C16:D16"/>
    <mergeCell ref="C17:D17"/>
    <mergeCell ref="C18:D18"/>
  </mergeCells>
  <printOptions horizontalCentered="1"/>
  <pageMargins left="0.78740157480314965" right="0.39370078740157483" top="0.19685039370078741" bottom="0.19685039370078741" header="0.31496062992125984" footer="0.31496062992125984"/>
  <pageSetup paperSize="9" scale="6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537"/>
  <sheetViews>
    <sheetView workbookViewId="0">
      <selection sqref="A1:XFD1048576"/>
    </sheetView>
  </sheetViews>
  <sheetFormatPr defaultColWidth="9.140625" defaultRowHeight="12.75" x14ac:dyDescent="0.2"/>
  <cols>
    <col min="1" max="1" width="10.5703125" style="332" customWidth="1"/>
    <col min="2" max="2" width="37.42578125" style="321" customWidth="1"/>
    <col min="3" max="3" width="21.42578125" style="1165" customWidth="1"/>
    <col min="4" max="4" width="21.5703125" style="1165" bestFit="1" customWidth="1"/>
    <col min="5" max="5" width="20.42578125" style="1131" customWidth="1"/>
    <col min="6" max="6" width="25.42578125" style="1131" customWidth="1"/>
    <col min="7" max="7" width="19.5703125" style="333" bestFit="1" customWidth="1"/>
    <col min="8" max="8" width="14.42578125" style="333" bestFit="1" customWidth="1"/>
    <col min="9" max="9" width="19.42578125" style="333" customWidth="1"/>
    <col min="10" max="10" width="15" style="333" customWidth="1"/>
    <col min="11" max="11" width="13.140625" style="333" bestFit="1" customWidth="1"/>
    <col min="12" max="12" width="22.5703125" style="333" customWidth="1"/>
    <col min="13" max="13" width="17.5703125" style="333" bestFit="1" customWidth="1"/>
    <col min="14" max="14" width="8.42578125" style="163" bestFit="1" customWidth="1"/>
    <col min="15" max="15" width="16" style="163" bestFit="1" customWidth="1"/>
    <col min="16" max="16" width="11.7109375" style="163" bestFit="1" customWidth="1"/>
    <col min="17" max="17" width="11.5703125" style="163" bestFit="1" customWidth="1"/>
    <col min="18" max="16384" width="9.140625" style="163"/>
  </cols>
  <sheetData>
    <row r="2" spans="1:13" x14ac:dyDescent="0.2">
      <c r="A2" s="330" t="s">
        <v>1034</v>
      </c>
      <c r="B2" s="330"/>
      <c r="C2" s="1046"/>
      <c r="D2" s="1046"/>
      <c r="E2" s="1047"/>
      <c r="F2" s="1047"/>
      <c r="G2" s="331"/>
      <c r="H2" s="331"/>
      <c r="I2" s="331"/>
      <c r="J2" s="331"/>
      <c r="K2" s="331"/>
      <c r="L2" s="331"/>
      <c r="M2" s="331"/>
    </row>
    <row r="3" spans="1:13" x14ac:dyDescent="0.2">
      <c r="C3" s="1695" t="str">
        <f>+'[15]balance sheet P&amp;L'!D3</f>
        <v>31.03.2023</v>
      </c>
      <c r="D3" s="1695"/>
      <c r="E3" s="1696" t="str">
        <f>+'[15]balance sheet P&amp;L'!E3</f>
        <v>31.03.2022</v>
      </c>
      <c r="F3" s="1696"/>
      <c r="M3" s="334"/>
    </row>
    <row r="4" spans="1:13" x14ac:dyDescent="0.2">
      <c r="A4" s="335" t="s">
        <v>1035</v>
      </c>
      <c r="B4" s="335" t="s">
        <v>63</v>
      </c>
      <c r="C4" s="1048"/>
      <c r="D4" s="1048" t="s">
        <v>223</v>
      </c>
      <c r="E4" s="1049"/>
      <c r="F4" s="1049" t="s">
        <v>223</v>
      </c>
      <c r="G4" s="1697"/>
      <c r="H4" s="1697"/>
      <c r="I4" s="1697"/>
      <c r="J4" s="1697"/>
      <c r="K4" s="336"/>
      <c r="L4" s="336"/>
      <c r="M4" s="336"/>
    </row>
    <row r="5" spans="1:13" x14ac:dyDescent="0.2">
      <c r="A5" s="337"/>
      <c r="B5" s="338"/>
      <c r="C5" s="1050"/>
      <c r="D5" s="1050"/>
      <c r="E5" s="1051"/>
      <c r="F5" s="1051"/>
      <c r="G5" s="339"/>
      <c r="H5" s="339"/>
      <c r="I5" s="339"/>
      <c r="J5" s="339"/>
      <c r="K5" s="339"/>
      <c r="L5" s="339"/>
      <c r="M5" s="339"/>
    </row>
    <row r="6" spans="1:13" x14ac:dyDescent="0.2">
      <c r="A6" s="337"/>
      <c r="B6" s="324"/>
      <c r="C6" s="1052"/>
      <c r="D6" s="1052"/>
      <c r="E6" s="1053"/>
      <c r="F6" s="1053"/>
    </row>
    <row r="7" spans="1:13" x14ac:dyDescent="0.2">
      <c r="A7" s="340" t="s">
        <v>1036</v>
      </c>
      <c r="B7" s="341" t="s">
        <v>27</v>
      </c>
      <c r="C7" s="1054"/>
      <c r="D7" s="1052"/>
      <c r="E7" s="1053"/>
      <c r="F7" s="1053"/>
    </row>
    <row r="8" spans="1:13" x14ac:dyDescent="0.2">
      <c r="A8" s="324"/>
      <c r="B8" s="341" t="s">
        <v>1037</v>
      </c>
      <c r="C8" s="1054"/>
      <c r="D8" s="1052"/>
      <c r="E8" s="1053"/>
      <c r="F8" s="1053"/>
    </row>
    <row r="9" spans="1:13" ht="15" x14ac:dyDescent="0.2">
      <c r="A9" s="337">
        <v>10101</v>
      </c>
      <c r="B9" s="324" t="s">
        <v>1038</v>
      </c>
      <c r="C9" s="1055">
        <f>+'[15]Input Sheet'!R6</f>
        <v>1678.7517123700002</v>
      </c>
      <c r="D9" s="1056"/>
      <c r="E9" s="1057">
        <v>1666.1285420889999</v>
      </c>
      <c r="F9" s="1053"/>
    </row>
    <row r="10" spans="1:13" ht="15" x14ac:dyDescent="0.2">
      <c r="A10" s="337">
        <v>10102</v>
      </c>
      <c r="B10" s="324" t="s">
        <v>1039</v>
      </c>
      <c r="C10" s="1055">
        <f>+'[15]Input Sheet'!R7</f>
        <v>131.01774349999999</v>
      </c>
      <c r="D10" s="1056"/>
      <c r="E10" s="1057">
        <v>131.01774349999999</v>
      </c>
      <c r="F10" s="1053"/>
    </row>
    <row r="11" spans="1:13" ht="15" x14ac:dyDescent="0.2">
      <c r="A11" s="337">
        <v>10201</v>
      </c>
      <c r="B11" s="324" t="s">
        <v>1040</v>
      </c>
      <c r="C11" s="1055">
        <f>+'[15]Input Sheet'!R8</f>
        <v>2035.3038791610002</v>
      </c>
      <c r="D11" s="1056"/>
      <c r="E11" s="1057">
        <v>2035.5868337700001</v>
      </c>
      <c r="F11" s="1053"/>
    </row>
    <row r="12" spans="1:13" ht="15" x14ac:dyDescent="0.2">
      <c r="A12" s="337">
        <v>10202</v>
      </c>
      <c r="B12" s="324" t="s">
        <v>1041</v>
      </c>
      <c r="C12" s="1055">
        <f>+'[15]Input Sheet'!R9</f>
        <v>1558.193879272</v>
      </c>
      <c r="D12" s="1056"/>
      <c r="E12" s="1057">
        <v>1544.225893602</v>
      </c>
      <c r="F12" s="1053"/>
    </row>
    <row r="13" spans="1:13" ht="15" x14ac:dyDescent="0.2">
      <c r="A13" s="337">
        <v>10301</v>
      </c>
      <c r="B13" s="324" t="s">
        <v>1042</v>
      </c>
      <c r="C13" s="1055">
        <f>+'[15]Input Sheet'!R10</f>
        <v>3767.0572018599996</v>
      </c>
      <c r="D13" s="1056"/>
      <c r="E13" s="1057">
        <v>3749.0497377249999</v>
      </c>
      <c r="F13" s="1053"/>
    </row>
    <row r="14" spans="1:13" ht="15" x14ac:dyDescent="0.2">
      <c r="A14" s="337">
        <v>10401</v>
      </c>
      <c r="B14" s="324" t="s">
        <v>1043</v>
      </c>
      <c r="C14" s="1055">
        <f>+'[15]Input Sheet'!R11</f>
        <v>1735.5792325299999</v>
      </c>
      <c r="D14" s="1056"/>
      <c r="E14" s="1057">
        <v>1694.1607932920001</v>
      </c>
      <c r="F14" s="1053"/>
    </row>
    <row r="15" spans="1:13" ht="15" x14ac:dyDescent="0.2">
      <c r="A15" s="337">
        <v>10402</v>
      </c>
      <c r="B15" s="324" t="s">
        <v>1044</v>
      </c>
      <c r="C15" s="1055">
        <f>+'[15]Input Sheet'!R12</f>
        <v>1348.328281655</v>
      </c>
      <c r="D15" s="1056"/>
      <c r="E15" s="1057">
        <v>1307.379495013</v>
      </c>
      <c r="F15" s="1053"/>
    </row>
    <row r="16" spans="1:13" ht="15" x14ac:dyDescent="0.2">
      <c r="A16" s="337">
        <v>10501</v>
      </c>
      <c r="B16" s="324" t="s">
        <v>1045</v>
      </c>
      <c r="C16" s="1055">
        <f>+'[15]Input Sheet'!R13</f>
        <v>54035.748937204</v>
      </c>
      <c r="D16" s="1056"/>
      <c r="E16" s="1057">
        <v>53347.563227371</v>
      </c>
      <c r="F16" s="1053"/>
    </row>
    <row r="17" spans="1:13" x14ac:dyDescent="0.2">
      <c r="A17" s="337">
        <v>10502</v>
      </c>
      <c r="B17" s="343" t="s">
        <v>1046</v>
      </c>
      <c r="C17" s="1055">
        <f>+'[15]Input Sheet'!R14</f>
        <v>0</v>
      </c>
      <c r="D17" s="1056"/>
      <c r="E17" s="1053">
        <v>0</v>
      </c>
      <c r="F17" s="1053"/>
    </row>
    <row r="18" spans="1:13" x14ac:dyDescent="0.2">
      <c r="A18" s="337">
        <v>10503</v>
      </c>
      <c r="B18" s="343" t="s">
        <v>1047</v>
      </c>
      <c r="C18" s="343">
        <f>+'[15]Input Sheet'!R15</f>
        <v>6.9999999999999997E-7</v>
      </c>
      <c r="D18" s="1056"/>
      <c r="E18" s="1053">
        <v>5.9999999999999997E-7</v>
      </c>
      <c r="F18" s="1053"/>
    </row>
    <row r="19" spans="1:13" x14ac:dyDescent="0.2">
      <c r="A19" s="337">
        <v>10601</v>
      </c>
      <c r="B19" s="324" t="s">
        <v>1048</v>
      </c>
      <c r="C19" s="1055">
        <f>+'[15]Input Sheet'!R16</f>
        <v>841.91768669399994</v>
      </c>
      <c r="D19" s="1056"/>
      <c r="E19" s="1053">
        <v>841.91768669399994</v>
      </c>
      <c r="F19" s="1053"/>
    </row>
    <row r="20" spans="1:13" x14ac:dyDescent="0.2">
      <c r="A20" s="337">
        <v>10701</v>
      </c>
      <c r="B20" s="324" t="s">
        <v>1049</v>
      </c>
      <c r="C20" s="1055">
        <f>+'[15]Input Sheet'!R17</f>
        <v>74.723972019000001</v>
      </c>
      <c r="D20" s="1056"/>
      <c r="E20" s="1053">
        <v>56.184358422999999</v>
      </c>
      <c r="F20" s="1053"/>
    </row>
    <row r="21" spans="1:13" x14ac:dyDescent="0.2">
      <c r="A21" s="337">
        <v>10801</v>
      </c>
      <c r="B21" s="324" t="s">
        <v>1050</v>
      </c>
      <c r="C21" s="1055">
        <f>+'[15]Input Sheet'!R18</f>
        <v>55.107586427999998</v>
      </c>
      <c r="D21" s="1056"/>
      <c r="E21" s="1053">
        <v>54.032838890000001</v>
      </c>
      <c r="F21" s="1053"/>
    </row>
    <row r="22" spans="1:13" x14ac:dyDescent="0.2">
      <c r="A22" s="337">
        <v>10901</v>
      </c>
      <c r="B22" s="324" t="s">
        <v>1051</v>
      </c>
      <c r="C22" s="1055">
        <f>+'[15]Input Sheet'!R19</f>
        <v>92.882042196</v>
      </c>
      <c r="D22" s="1056"/>
      <c r="E22" s="1053">
        <v>81.511581636000003</v>
      </c>
      <c r="F22" s="1053"/>
    </row>
    <row r="23" spans="1:13" ht="25.5" x14ac:dyDescent="0.2">
      <c r="A23" s="337">
        <v>10902</v>
      </c>
      <c r="B23" s="344" t="s">
        <v>1052</v>
      </c>
      <c r="C23" s="1055">
        <f>+'[15]Input Sheet'!R20</f>
        <v>86.980283909999997</v>
      </c>
      <c r="D23" s="1056"/>
      <c r="E23" s="1053">
        <v>86.980283909999997</v>
      </c>
      <c r="F23" s="1053"/>
    </row>
    <row r="24" spans="1:13" x14ac:dyDescent="0.2">
      <c r="A24" s="337">
        <v>10903</v>
      </c>
      <c r="B24" s="343" t="s">
        <v>1053</v>
      </c>
      <c r="C24" s="1055">
        <f>+'[15]Input Sheet'!R21</f>
        <v>0</v>
      </c>
      <c r="D24" s="1056"/>
      <c r="E24" s="1053">
        <v>0</v>
      </c>
      <c r="F24" s="1053"/>
    </row>
    <row r="25" spans="1:13" x14ac:dyDescent="0.2">
      <c r="A25" s="337">
        <v>10960</v>
      </c>
      <c r="B25" s="343" t="s">
        <v>1054</v>
      </c>
      <c r="C25" s="1055">
        <f>+'[15]Input Sheet'!R22</f>
        <v>0</v>
      </c>
      <c r="D25" s="1056"/>
      <c r="E25" s="1053">
        <v>0</v>
      </c>
      <c r="F25" s="1053"/>
    </row>
    <row r="26" spans="1:13" ht="15.75" x14ac:dyDescent="0.2">
      <c r="A26" s="337"/>
      <c r="B26" s="345" t="s">
        <v>92</v>
      </c>
      <c r="C26" s="1058">
        <f>SUM(C9:C25)</f>
        <v>67441.592439499</v>
      </c>
      <c r="D26" s="1059">
        <f>SUM(C9:C25)</f>
        <v>67441.592439499</v>
      </c>
      <c r="E26" s="1058">
        <f>SUM(E9:E25)</f>
        <v>66595.739016514985</v>
      </c>
      <c r="F26" s="1060">
        <f>SUM(E9:E25)</f>
        <v>66595.739016514985</v>
      </c>
      <c r="G26" s="346"/>
      <c r="H26" s="346"/>
      <c r="I26" s="346"/>
      <c r="J26" s="346"/>
      <c r="L26" s="346"/>
      <c r="M26" s="346"/>
    </row>
    <row r="27" spans="1:13" x14ac:dyDescent="0.2">
      <c r="A27" s="337"/>
      <c r="B27" s="341" t="s">
        <v>1055</v>
      </c>
      <c r="C27" s="1060"/>
      <c r="D27" s="1055"/>
      <c r="E27" s="1053"/>
      <c r="F27" s="1053"/>
    </row>
    <row r="28" spans="1:13" x14ac:dyDescent="0.2">
      <c r="A28" s="337">
        <v>12102</v>
      </c>
      <c r="B28" s="324" t="s">
        <v>1056</v>
      </c>
      <c r="C28" s="1055">
        <f>+'[15]Input Sheet'!R39</f>
        <v>60.337797950000002</v>
      </c>
      <c r="D28" s="1055"/>
      <c r="E28" s="1053">
        <v>56.083440850000002</v>
      </c>
      <c r="F28" s="1053"/>
    </row>
    <row r="29" spans="1:13" x14ac:dyDescent="0.2">
      <c r="A29" s="337">
        <v>12201</v>
      </c>
      <c r="B29" s="324" t="s">
        <v>1057</v>
      </c>
      <c r="C29" s="1055">
        <f>+'[15]Input Sheet'!R40</f>
        <v>1350.951315716</v>
      </c>
      <c r="D29" s="1055"/>
      <c r="E29" s="1053">
        <v>1314.2990841159999</v>
      </c>
      <c r="F29" s="1053"/>
    </row>
    <row r="30" spans="1:13" x14ac:dyDescent="0.2">
      <c r="A30" s="337">
        <v>12202</v>
      </c>
      <c r="B30" s="324" t="s">
        <v>1058</v>
      </c>
      <c r="C30" s="1055">
        <f>+'[15]Input Sheet'!R41</f>
        <v>831.24458695600003</v>
      </c>
      <c r="D30" s="1055"/>
      <c r="E30" s="1053">
        <v>803.71768017600004</v>
      </c>
      <c r="F30" s="1053"/>
    </row>
    <row r="31" spans="1:13" x14ac:dyDescent="0.2">
      <c r="A31" s="337">
        <v>12301</v>
      </c>
      <c r="B31" s="324" t="s">
        <v>1059</v>
      </c>
      <c r="C31" s="1055">
        <f>+'[15]Input Sheet'!R42</f>
        <v>2171.4833218869999</v>
      </c>
      <c r="D31" s="1055"/>
      <c r="E31" s="1053">
        <v>2030.6192134080002</v>
      </c>
      <c r="F31" s="1053"/>
    </row>
    <row r="32" spans="1:13" x14ac:dyDescent="0.2">
      <c r="A32" s="337">
        <v>12401</v>
      </c>
      <c r="B32" s="324" t="s">
        <v>1060</v>
      </c>
      <c r="C32" s="1055">
        <f>+'[15]Input Sheet'!R43</f>
        <v>874.45816697900011</v>
      </c>
      <c r="D32" s="1055"/>
      <c r="E32" s="1053">
        <v>835.47378025500007</v>
      </c>
      <c r="F32" s="1053"/>
    </row>
    <row r="33" spans="1:13" x14ac:dyDescent="0.2">
      <c r="A33" s="337">
        <v>12402</v>
      </c>
      <c r="B33" s="324" t="s">
        <v>1061</v>
      </c>
      <c r="C33" s="1055">
        <f>+'[15]Input Sheet'!R44</f>
        <v>422.42637009499998</v>
      </c>
      <c r="D33" s="1055"/>
      <c r="E33" s="1053">
        <v>375.703501335</v>
      </c>
      <c r="F33" s="1053"/>
    </row>
    <row r="34" spans="1:13" x14ac:dyDescent="0.2">
      <c r="A34" s="337">
        <v>12501</v>
      </c>
      <c r="B34" s="324" t="s">
        <v>1062</v>
      </c>
      <c r="C34" s="1055">
        <f>+'[15]Input Sheet'!R45</f>
        <v>29990.825415802003</v>
      </c>
      <c r="D34" s="1055"/>
      <c r="E34" s="1053">
        <v>27745.555990276</v>
      </c>
      <c r="F34" s="1053"/>
    </row>
    <row r="35" spans="1:13" x14ac:dyDescent="0.2">
      <c r="A35" s="337">
        <v>12502</v>
      </c>
      <c r="B35" s="343" t="s">
        <v>1063</v>
      </c>
      <c r="C35" s="1055">
        <f>+'[15]Input Sheet'!R46</f>
        <v>0</v>
      </c>
      <c r="D35" s="1055"/>
      <c r="E35" s="1053">
        <v>0</v>
      </c>
      <c r="F35" s="1053"/>
    </row>
    <row r="36" spans="1:13" x14ac:dyDescent="0.2">
      <c r="A36" s="337">
        <v>12601</v>
      </c>
      <c r="B36" s="324" t="s">
        <v>1064</v>
      </c>
      <c r="C36" s="1055">
        <f>+'[15]Input Sheet'!R47</f>
        <v>518.73213405199999</v>
      </c>
      <c r="D36" s="1055"/>
      <c r="E36" s="1053">
        <v>491.85486255200004</v>
      </c>
      <c r="F36" s="1053"/>
    </row>
    <row r="37" spans="1:13" x14ac:dyDescent="0.2">
      <c r="A37" s="337">
        <v>12701</v>
      </c>
      <c r="B37" s="324" t="s">
        <v>1065</v>
      </c>
      <c r="C37" s="1055">
        <f>+'[15]Input Sheet'!R48</f>
        <v>28.613181192000003</v>
      </c>
      <c r="D37" s="1055"/>
      <c r="E37" s="1053">
        <v>26.281610892</v>
      </c>
      <c r="F37" s="1053"/>
    </row>
    <row r="38" spans="1:13" x14ac:dyDescent="0.2">
      <c r="A38" s="337">
        <v>12801</v>
      </c>
      <c r="B38" s="324" t="s">
        <v>1066</v>
      </c>
      <c r="C38" s="1055">
        <f>+'[15]Input Sheet'!R49</f>
        <v>35.527038404999999</v>
      </c>
      <c r="D38" s="1055"/>
      <c r="E38" s="1053">
        <v>32.861502968000003</v>
      </c>
      <c r="F38" s="1053"/>
    </row>
    <row r="39" spans="1:13" x14ac:dyDescent="0.2">
      <c r="A39" s="337">
        <v>12901</v>
      </c>
      <c r="B39" s="324" t="s">
        <v>1067</v>
      </c>
      <c r="C39" s="1055">
        <f>+'[15]Input Sheet'!R50</f>
        <v>51.966004622</v>
      </c>
      <c r="D39" s="1055"/>
      <c r="E39" s="1053">
        <v>47.804368760999999</v>
      </c>
      <c r="F39" s="1053"/>
    </row>
    <row r="40" spans="1:13" x14ac:dyDescent="0.2">
      <c r="A40" s="337">
        <v>12902</v>
      </c>
      <c r="B40" s="324" t="s">
        <v>1068</v>
      </c>
      <c r="C40" s="1055">
        <f>+'[15]Input Sheet'!R51</f>
        <v>64.514075070000004</v>
      </c>
      <c r="D40" s="1055"/>
      <c r="E40" s="1053">
        <v>60.760211870000006</v>
      </c>
      <c r="F40" s="1053"/>
    </row>
    <row r="41" spans="1:13" ht="15" x14ac:dyDescent="0.2">
      <c r="A41" s="337">
        <v>12903</v>
      </c>
      <c r="B41" s="347" t="s">
        <v>1069</v>
      </c>
      <c r="C41" s="1055">
        <f>+'[15]Input Sheet'!R52</f>
        <v>0</v>
      </c>
      <c r="D41" s="1055"/>
      <c r="E41" s="1053">
        <v>0</v>
      </c>
      <c r="F41" s="1053"/>
    </row>
    <row r="42" spans="1:13" ht="15.75" x14ac:dyDescent="0.2">
      <c r="A42" s="337"/>
      <c r="B42" s="345" t="s">
        <v>92</v>
      </c>
      <c r="C42" s="1058">
        <f>SUM(C28:C41)</f>
        <v>36401.079408726007</v>
      </c>
      <c r="D42" s="1060">
        <f>SUM(C28:C41)</f>
        <v>36401.079408726007</v>
      </c>
      <c r="E42" s="1061">
        <f>SUM(E28:E41)</f>
        <v>33821.015247459</v>
      </c>
      <c r="F42" s="1062">
        <f>SUM(E28:E41)</f>
        <v>33821.015247459</v>
      </c>
      <c r="M42" s="346"/>
    </row>
    <row r="43" spans="1:13" ht="13.5" thickBot="1" x14ac:dyDescent="0.25">
      <c r="A43" s="324"/>
      <c r="B43" s="348" t="s">
        <v>1070</v>
      </c>
      <c r="C43" s="1063"/>
      <c r="D43" s="1064">
        <f>D26-D42-D88</f>
        <v>31040.513030772992</v>
      </c>
      <c r="E43" s="1065"/>
      <c r="F43" s="1064">
        <f>F26-F42-F88</f>
        <v>32774.723769055985</v>
      </c>
      <c r="M43" s="346"/>
    </row>
    <row r="44" spans="1:13" ht="13.5" thickTop="1" x14ac:dyDescent="0.2">
      <c r="A44" s="337"/>
      <c r="B44" s="324"/>
      <c r="C44" s="1055"/>
      <c r="D44" s="1060"/>
      <c r="E44" s="1066"/>
      <c r="F44" s="1067"/>
      <c r="M44" s="346"/>
    </row>
    <row r="45" spans="1:13" x14ac:dyDescent="0.2">
      <c r="A45" s="340" t="s">
        <v>1071</v>
      </c>
      <c r="B45" s="341" t="s">
        <v>1072</v>
      </c>
      <c r="C45" s="1055"/>
      <c r="D45" s="1068"/>
      <c r="E45" s="1069"/>
      <c r="F45" s="1069"/>
      <c r="M45" s="346"/>
    </row>
    <row r="46" spans="1:13" x14ac:dyDescent="0.2">
      <c r="A46" s="349">
        <v>10962</v>
      </c>
      <c r="B46" s="343" t="s">
        <v>1072</v>
      </c>
      <c r="C46" s="1055">
        <f>'[15]Input Sheet'!R24</f>
        <v>4439.6468180000002</v>
      </c>
      <c r="D46" s="1056"/>
      <c r="E46" s="1053">
        <v>4439.6468180000002</v>
      </c>
      <c r="F46" s="1069"/>
    </row>
    <row r="47" spans="1:13" x14ac:dyDescent="0.2">
      <c r="A47" s="349">
        <f>'[15]Input Sheet'!D55</f>
        <v>12962</v>
      </c>
      <c r="B47" s="1055" t="s">
        <v>1073</v>
      </c>
      <c r="C47" s="1055">
        <f>'[15]Input Sheet'!R55</f>
        <v>1020.4094346000001</v>
      </c>
      <c r="D47" s="1055"/>
      <c r="E47" s="1053">
        <v>766.58692029999997</v>
      </c>
      <c r="F47" s="1069"/>
    </row>
    <row r="48" spans="1:13" ht="13.5" thickBot="1" x14ac:dyDescent="0.25">
      <c r="A48" s="337"/>
      <c r="B48" s="348" t="s">
        <v>1074</v>
      </c>
      <c r="C48" s="1063">
        <f>C46-C47</f>
        <v>3419.2373834</v>
      </c>
      <c r="D48" s="1064">
        <f>C46-C47</f>
        <v>3419.2373834</v>
      </c>
      <c r="E48" s="1063">
        <f>E46-E47</f>
        <v>3673.0598977</v>
      </c>
      <c r="F48" s="1064">
        <f>E46-E47</f>
        <v>3673.0598977</v>
      </c>
    </row>
    <row r="49" spans="1:13" ht="13.5" thickTop="1" x14ac:dyDescent="0.2">
      <c r="A49" s="337"/>
      <c r="B49" s="341"/>
      <c r="C49" s="1060"/>
      <c r="D49" s="1060"/>
      <c r="E49" s="1070"/>
      <c r="F49" s="1070"/>
    </row>
    <row r="50" spans="1:13" x14ac:dyDescent="0.2">
      <c r="A50" s="340" t="s">
        <v>1075</v>
      </c>
      <c r="B50" s="341" t="s">
        <v>1076</v>
      </c>
      <c r="C50" s="1060"/>
      <c r="D50" s="1055"/>
      <c r="E50" s="1069"/>
      <c r="F50" s="1069"/>
      <c r="M50" s="346"/>
    </row>
    <row r="51" spans="1:13" x14ac:dyDescent="0.2">
      <c r="A51" s="349">
        <v>10961</v>
      </c>
      <c r="B51" s="324" t="s">
        <v>1077</v>
      </c>
      <c r="C51" s="1055">
        <f>+'[15]Input Sheet'!R23</f>
        <v>56.245604590999996</v>
      </c>
      <c r="D51" s="1055"/>
      <c r="E51" s="1069">
        <v>53.481524497999999</v>
      </c>
      <c r="F51" s="1069"/>
    </row>
    <row r="52" spans="1:13" x14ac:dyDescent="0.2">
      <c r="A52" s="349">
        <v>12961</v>
      </c>
      <c r="B52" s="324" t="s">
        <v>1078</v>
      </c>
      <c r="C52" s="1055">
        <f>+'[15]Input Sheet'!R54</f>
        <v>51.951534522999999</v>
      </c>
      <c r="D52" s="1055"/>
      <c r="E52" s="1069">
        <v>50.338330514999996</v>
      </c>
      <c r="F52" s="1069"/>
    </row>
    <row r="53" spans="1:13" ht="13.5" thickBot="1" x14ac:dyDescent="0.25">
      <c r="A53" s="337"/>
      <c r="B53" s="348" t="s">
        <v>1079</v>
      </c>
      <c r="C53" s="1063">
        <f>C51-C52</f>
        <v>4.2940700679999964</v>
      </c>
      <c r="D53" s="1064">
        <f>C53</f>
        <v>4.2940700679999964</v>
      </c>
      <c r="E53" s="1063">
        <f>E51-E52</f>
        <v>3.1431939830000033</v>
      </c>
      <c r="F53" s="1064">
        <f>E53</f>
        <v>3.1431939830000033</v>
      </c>
      <c r="M53" s="346"/>
    </row>
    <row r="54" spans="1:13" ht="13.5" thickTop="1" x14ac:dyDescent="0.2">
      <c r="A54" s="337"/>
      <c r="B54" s="341"/>
      <c r="C54" s="1060"/>
      <c r="D54" s="1055"/>
      <c r="E54" s="1069"/>
      <c r="F54" s="1069"/>
      <c r="M54" s="346"/>
    </row>
    <row r="55" spans="1:13" x14ac:dyDescent="0.2">
      <c r="A55" s="340" t="s">
        <v>1080</v>
      </c>
      <c r="B55" s="341" t="s">
        <v>1081</v>
      </c>
      <c r="C55" s="1060"/>
      <c r="D55" s="1055"/>
      <c r="E55" s="1069"/>
      <c r="F55" s="1069"/>
      <c r="M55" s="346"/>
    </row>
    <row r="56" spans="1:13" x14ac:dyDescent="0.2">
      <c r="A56" s="337"/>
      <c r="B56" s="341" t="s">
        <v>1082</v>
      </c>
      <c r="C56" s="1060"/>
      <c r="D56" s="1055"/>
      <c r="E56" s="1069"/>
      <c r="F56" s="1069"/>
    </row>
    <row r="57" spans="1:13" ht="30" x14ac:dyDescent="0.2">
      <c r="A57" s="337">
        <v>11100</v>
      </c>
      <c r="B57" s="350" t="s">
        <v>1083</v>
      </c>
      <c r="C57" s="1071">
        <f>+'[15]Input Sheet'!R25</f>
        <v>0</v>
      </c>
      <c r="D57" s="1055"/>
      <c r="E57" s="1069">
        <v>0</v>
      </c>
      <c r="F57" s="1069"/>
    </row>
    <row r="58" spans="1:13" x14ac:dyDescent="0.2">
      <c r="A58" s="337">
        <v>11101</v>
      </c>
      <c r="B58" s="351" t="s">
        <v>1038</v>
      </c>
      <c r="C58" s="1072"/>
      <c r="D58" s="1055"/>
      <c r="E58" s="1069"/>
      <c r="F58" s="1069"/>
    </row>
    <row r="59" spans="1:13" x14ac:dyDescent="0.2">
      <c r="A59" s="337">
        <v>11102</v>
      </c>
      <c r="B59" s="324" t="s">
        <v>1039</v>
      </c>
      <c r="C59" s="1055">
        <f>+'[15]Input Sheet'!R26</f>
        <v>0</v>
      </c>
      <c r="D59" s="1055"/>
      <c r="E59" s="1069">
        <v>0</v>
      </c>
      <c r="F59" s="1069"/>
    </row>
    <row r="60" spans="1:13" x14ac:dyDescent="0.2">
      <c r="A60" s="337">
        <v>11201</v>
      </c>
      <c r="B60" s="324" t="s">
        <v>1040</v>
      </c>
      <c r="C60" s="1055">
        <f>+'[15]Input Sheet'!R27</f>
        <v>12.603990329</v>
      </c>
      <c r="D60" s="1055"/>
      <c r="E60" s="1069">
        <v>12.603990329</v>
      </c>
      <c r="F60" s="1069"/>
    </row>
    <row r="61" spans="1:13" x14ac:dyDescent="0.2">
      <c r="A61" s="337">
        <v>11202</v>
      </c>
      <c r="B61" s="324" t="s">
        <v>1041</v>
      </c>
      <c r="C61" s="1055">
        <f>+'[15]Input Sheet'!R28</f>
        <v>7.4501800889999998</v>
      </c>
      <c r="D61" s="1055"/>
      <c r="E61" s="1069">
        <v>7.4501800889999998</v>
      </c>
      <c r="F61" s="1069"/>
    </row>
    <row r="62" spans="1:13" x14ac:dyDescent="0.2">
      <c r="A62" s="337">
        <v>11301</v>
      </c>
      <c r="B62" s="324" t="s">
        <v>1042</v>
      </c>
      <c r="C62" s="1055">
        <f>+'[15]Input Sheet'!R29</f>
        <v>86.898214598999999</v>
      </c>
      <c r="D62" s="1055"/>
      <c r="E62" s="1069">
        <v>86.898214598999999</v>
      </c>
      <c r="F62" s="1069"/>
    </row>
    <row r="63" spans="1:13" x14ac:dyDescent="0.2">
      <c r="A63" s="337">
        <v>11401</v>
      </c>
      <c r="B63" s="324" t="s">
        <v>1043</v>
      </c>
      <c r="C63" s="1055">
        <f>+'[15]Input Sheet'!R30</f>
        <v>12.813927629</v>
      </c>
      <c r="D63" s="1055"/>
      <c r="E63" s="1069">
        <v>12.813927629</v>
      </c>
      <c r="F63" s="1069"/>
    </row>
    <row r="64" spans="1:13" x14ac:dyDescent="0.2">
      <c r="A64" s="337">
        <v>11402</v>
      </c>
      <c r="B64" s="324" t="s">
        <v>1044</v>
      </c>
      <c r="C64" s="1055">
        <f>+'[15]Input Sheet'!R31</f>
        <v>4.8626668479999999</v>
      </c>
      <c r="D64" s="1055"/>
      <c r="E64" s="1069">
        <v>4.8626668479999999</v>
      </c>
      <c r="F64" s="1069"/>
    </row>
    <row r="65" spans="1:13" x14ac:dyDescent="0.2">
      <c r="A65" s="337">
        <v>11501</v>
      </c>
      <c r="B65" s="324" t="s">
        <v>1045</v>
      </c>
      <c r="C65" s="1055">
        <f>+'[15]Input Sheet'!R32</f>
        <v>1085.0955059830001</v>
      </c>
      <c r="D65" s="1055"/>
      <c r="E65" s="1069">
        <v>1085.0388533830001</v>
      </c>
      <c r="F65" s="1069"/>
    </row>
    <row r="66" spans="1:13" x14ac:dyDescent="0.2">
      <c r="A66" s="337">
        <v>11601</v>
      </c>
      <c r="B66" s="324" t="s">
        <v>1048</v>
      </c>
      <c r="C66" s="1055">
        <f>+'[15]Input Sheet'!R33</f>
        <v>4.4639498639999999</v>
      </c>
      <c r="D66" s="1055"/>
      <c r="E66" s="1069">
        <v>4.4639498639999999</v>
      </c>
      <c r="F66" s="1069"/>
    </row>
    <row r="67" spans="1:13" x14ac:dyDescent="0.2">
      <c r="A67" s="337">
        <v>11701</v>
      </c>
      <c r="B67" s="324" t="s">
        <v>1049</v>
      </c>
      <c r="C67" s="1055">
        <f>+'[15]Input Sheet'!R34</f>
        <v>3.1365620230000002</v>
      </c>
      <c r="D67" s="1055"/>
      <c r="E67" s="1069">
        <v>2.9548037219999999</v>
      </c>
      <c r="F67" s="1069"/>
    </row>
    <row r="68" spans="1:13" x14ac:dyDescent="0.2">
      <c r="A68" s="337">
        <v>11801</v>
      </c>
      <c r="B68" s="324" t="s">
        <v>1050</v>
      </c>
      <c r="C68" s="1055">
        <f>+'[15]Input Sheet'!R35</f>
        <v>1.403081271</v>
      </c>
      <c r="D68" s="1055"/>
      <c r="E68" s="1069">
        <v>1.390222276</v>
      </c>
      <c r="F68" s="1069"/>
    </row>
    <row r="69" spans="1:13" x14ac:dyDescent="0.2">
      <c r="A69" s="337">
        <v>11901</v>
      </c>
      <c r="B69" s="324" t="s">
        <v>1051</v>
      </c>
      <c r="C69" s="1055">
        <f>+'[15]Input Sheet'!R36</f>
        <v>4.4971767690000002</v>
      </c>
      <c r="D69" s="1055"/>
      <c r="E69" s="1069">
        <v>4.2908619029999997</v>
      </c>
      <c r="F69" s="1069"/>
    </row>
    <row r="70" spans="1:13" x14ac:dyDescent="0.2">
      <c r="A70" s="337">
        <v>11902</v>
      </c>
      <c r="B70" s="343" t="s">
        <v>1084</v>
      </c>
      <c r="C70" s="1055">
        <f>+'[15]Input Sheet'!R37</f>
        <v>0.44461519999999999</v>
      </c>
      <c r="D70" s="1055"/>
      <c r="E70" s="1069">
        <v>0.44461519999999999</v>
      </c>
      <c r="F70" s="1069"/>
    </row>
    <row r="71" spans="1:13" x14ac:dyDescent="0.2">
      <c r="A71" s="337">
        <v>11961</v>
      </c>
      <c r="B71" s="343" t="s">
        <v>1085</v>
      </c>
      <c r="C71" s="1055">
        <f>+'[15]Input Sheet'!R38</f>
        <v>0</v>
      </c>
      <c r="D71" s="1055"/>
      <c r="E71" s="1069">
        <v>0</v>
      </c>
      <c r="F71" s="1069"/>
    </row>
    <row r="72" spans="1:13" ht="15.75" x14ac:dyDescent="0.2">
      <c r="A72" s="337"/>
      <c r="B72" s="345" t="s">
        <v>92</v>
      </c>
      <c r="C72" s="1058">
        <f>SUM(C59:C71)</f>
        <v>1223.6698706039999</v>
      </c>
      <c r="D72" s="1060">
        <f>SUM(C57:C71)</f>
        <v>1223.6698706039999</v>
      </c>
      <c r="E72" s="1058">
        <f>SUM(E59:E71)</f>
        <v>1223.212285842</v>
      </c>
      <c r="F72" s="1070">
        <f>SUM(E57:E71)</f>
        <v>1223.212285842</v>
      </c>
      <c r="M72" s="346"/>
    </row>
    <row r="73" spans="1:13" x14ac:dyDescent="0.2">
      <c r="A73" s="337"/>
      <c r="B73" s="324"/>
      <c r="C73" s="1055"/>
      <c r="D73" s="1055"/>
      <c r="E73" s="1069"/>
      <c r="F73" s="1069"/>
    </row>
    <row r="74" spans="1:13" x14ac:dyDescent="0.2">
      <c r="A74" s="337"/>
      <c r="B74" s="341" t="s">
        <v>1086</v>
      </c>
      <c r="C74" s="1060"/>
      <c r="D74" s="1055"/>
      <c r="E74" s="1069"/>
      <c r="F74" s="1069"/>
    </row>
    <row r="75" spans="1:13" x14ac:dyDescent="0.2">
      <c r="A75" s="337">
        <v>13102</v>
      </c>
      <c r="B75" s="324" t="s">
        <v>1056</v>
      </c>
      <c r="C75" s="1055">
        <f>+'[15]Input Sheet'!R56</f>
        <v>0</v>
      </c>
      <c r="D75" s="1055"/>
      <c r="E75" s="1069">
        <v>0</v>
      </c>
      <c r="F75" s="1069"/>
    </row>
    <row r="76" spans="1:13" x14ac:dyDescent="0.2">
      <c r="A76" s="337">
        <v>13201</v>
      </c>
      <c r="B76" s="324" t="s">
        <v>1057</v>
      </c>
      <c r="C76" s="1055">
        <f>+'[15]Input Sheet'!R57</f>
        <v>10.943974465</v>
      </c>
      <c r="D76" s="1055"/>
      <c r="E76" s="1069">
        <v>10.943974465</v>
      </c>
      <c r="F76" s="1069"/>
    </row>
    <row r="77" spans="1:13" x14ac:dyDescent="0.2">
      <c r="A77" s="337">
        <v>13202</v>
      </c>
      <c r="B77" s="324" t="s">
        <v>1058</v>
      </c>
      <c r="C77" s="1055">
        <f>+'[15]Input Sheet'!R58</f>
        <v>6.5721391650000003</v>
      </c>
      <c r="D77" s="1055"/>
      <c r="E77" s="1069">
        <v>6.5721391650000003</v>
      </c>
      <c r="F77" s="1069"/>
    </row>
    <row r="78" spans="1:13" x14ac:dyDescent="0.2">
      <c r="A78" s="337">
        <v>13301</v>
      </c>
      <c r="B78" s="324" t="s">
        <v>1059</v>
      </c>
      <c r="C78" s="1055">
        <f>+'[15]Input Sheet'!R59</f>
        <v>77.865547253999992</v>
      </c>
      <c r="D78" s="1055"/>
      <c r="E78" s="1069">
        <v>77.865547253999992</v>
      </c>
      <c r="F78" s="1069"/>
    </row>
    <row r="79" spans="1:13" x14ac:dyDescent="0.2">
      <c r="A79" s="337">
        <v>13401</v>
      </c>
      <c r="B79" s="324" t="s">
        <v>1060</v>
      </c>
      <c r="C79" s="1055">
        <f>+'[15]Input Sheet'!R60</f>
        <v>9.0118232850000002</v>
      </c>
      <c r="D79" s="1055"/>
      <c r="E79" s="1069">
        <v>9.0118232850000002</v>
      </c>
      <c r="F79" s="1069"/>
    </row>
    <row r="80" spans="1:13" x14ac:dyDescent="0.2">
      <c r="A80" s="337">
        <v>13402</v>
      </c>
      <c r="B80" s="324" t="s">
        <v>1061</v>
      </c>
      <c r="C80" s="1055">
        <f>+'[15]Input Sheet'!R61</f>
        <v>4.2900636969999999</v>
      </c>
      <c r="D80" s="1055"/>
      <c r="E80" s="1069">
        <v>4.2900636969999999</v>
      </c>
      <c r="F80" s="1069"/>
    </row>
    <row r="81" spans="1:13" x14ac:dyDescent="0.2">
      <c r="A81" s="337">
        <v>13501</v>
      </c>
      <c r="B81" s="324" t="s">
        <v>1062</v>
      </c>
      <c r="C81" s="1055">
        <f>+'[15]Input Sheet'!R62</f>
        <v>961.17367607900007</v>
      </c>
      <c r="D81" s="1055"/>
      <c r="E81" s="1069">
        <v>961.12268857900006</v>
      </c>
      <c r="F81" s="1069"/>
    </row>
    <row r="82" spans="1:13" x14ac:dyDescent="0.2">
      <c r="A82" s="337">
        <v>13601</v>
      </c>
      <c r="B82" s="324" t="s">
        <v>1064</v>
      </c>
      <c r="C82" s="1055">
        <f>+'[15]Input Sheet'!R63</f>
        <v>3.6525181719999997</v>
      </c>
      <c r="D82" s="1055"/>
      <c r="E82" s="1069">
        <v>3.6525181719999997</v>
      </c>
      <c r="F82" s="1069"/>
    </row>
    <row r="83" spans="1:13" x14ac:dyDescent="0.2">
      <c r="A83" s="337">
        <v>13701</v>
      </c>
      <c r="B83" s="324" t="s">
        <v>1065</v>
      </c>
      <c r="C83" s="1055">
        <f>+'[15]Input Sheet'!R64</f>
        <v>2.8229065090000001</v>
      </c>
      <c r="D83" s="1055"/>
      <c r="E83" s="1069">
        <v>2.6593240389999999</v>
      </c>
      <c r="F83" s="1069"/>
    </row>
    <row r="84" spans="1:13" x14ac:dyDescent="0.2">
      <c r="A84" s="337">
        <v>13801</v>
      </c>
      <c r="B84" s="324" t="s">
        <v>1066</v>
      </c>
      <c r="C84" s="1055">
        <f>+'[15]Input Sheet'!R65</f>
        <v>1.262557876</v>
      </c>
      <c r="D84" s="1055"/>
      <c r="E84" s="1069">
        <v>1.2509847810000001</v>
      </c>
      <c r="F84" s="1069"/>
    </row>
    <row r="85" spans="1:13" x14ac:dyDescent="0.2">
      <c r="A85" s="337">
        <v>13901</v>
      </c>
      <c r="B85" s="324" t="s">
        <v>1067</v>
      </c>
      <c r="C85" s="1055">
        <f>+'[15]Input Sheet'!R66</f>
        <v>4.0401801930000003</v>
      </c>
      <c r="D85" s="1055"/>
      <c r="E85" s="1069">
        <v>3.8556711869999996</v>
      </c>
      <c r="F85" s="1069"/>
    </row>
    <row r="86" spans="1:13" x14ac:dyDescent="0.2">
      <c r="A86" s="337">
        <v>13902</v>
      </c>
      <c r="B86" s="324" t="s">
        <v>1068</v>
      </c>
      <c r="C86" s="1055">
        <f>+'[15]Input Sheet'!R67</f>
        <v>0.40015367999999996</v>
      </c>
      <c r="D86" s="1055"/>
      <c r="E86" s="1069">
        <v>0.40015367999999996</v>
      </c>
      <c r="F86" s="1069"/>
    </row>
    <row r="87" spans="1:13" x14ac:dyDescent="0.2">
      <c r="A87" s="337">
        <v>13961</v>
      </c>
      <c r="B87" s="343" t="s">
        <v>1087</v>
      </c>
      <c r="C87" s="1055">
        <f>+'[15]Input Sheet'!M68</f>
        <v>0</v>
      </c>
      <c r="D87" s="1055"/>
      <c r="E87" s="1069">
        <v>0</v>
      </c>
      <c r="F87" s="1069"/>
    </row>
    <row r="88" spans="1:13" x14ac:dyDescent="0.2">
      <c r="A88" s="337">
        <v>46961</v>
      </c>
      <c r="B88" s="324" t="s">
        <v>522</v>
      </c>
      <c r="C88" s="1055">
        <f>'[15]Input Sheet'!R712</f>
        <v>22.086150316999998</v>
      </c>
      <c r="D88" s="1060"/>
      <c r="E88" s="1053">
        <v>20.549772566999998</v>
      </c>
      <c r="F88" s="1053"/>
    </row>
    <row r="89" spans="1:13" ht="15.75" x14ac:dyDescent="0.2">
      <c r="A89" s="337"/>
      <c r="B89" s="345" t="s">
        <v>92</v>
      </c>
      <c r="C89" s="1058">
        <f>SUM(C75:C88)</f>
        <v>1104.1216906919999</v>
      </c>
      <c r="D89" s="1060">
        <f>SUM(C75:C88)</f>
        <v>1104.1216906919999</v>
      </c>
      <c r="E89" s="1058">
        <f>SUM(E75:E88)</f>
        <v>1102.174660871</v>
      </c>
      <c r="F89" s="1060">
        <f>SUM(E75:E88)</f>
        <v>1102.174660871</v>
      </c>
      <c r="M89" s="346"/>
    </row>
    <row r="90" spans="1:13" x14ac:dyDescent="0.2">
      <c r="A90" s="352"/>
      <c r="B90" s="353" t="s">
        <v>1088</v>
      </c>
      <c r="C90" s="1073"/>
      <c r="D90" s="1074">
        <f>D72-D89</f>
        <v>119.54817991200002</v>
      </c>
      <c r="E90" s="1073"/>
      <c r="F90" s="1075">
        <f>F72-F89</f>
        <v>121.03762497100001</v>
      </c>
      <c r="M90" s="346"/>
    </row>
    <row r="91" spans="1:13" x14ac:dyDescent="0.2">
      <c r="A91" s="354"/>
      <c r="B91" s="355"/>
      <c r="C91" s="1076"/>
      <c r="D91" s="1076"/>
      <c r="E91" s="1069"/>
      <c r="F91" s="1069"/>
    </row>
    <row r="92" spans="1:13" x14ac:dyDescent="0.2">
      <c r="A92" s="337"/>
      <c r="B92" s="324"/>
      <c r="C92" s="1055"/>
      <c r="D92" s="1055"/>
      <c r="E92" s="1069"/>
      <c r="F92" s="1069"/>
    </row>
    <row r="93" spans="1:13" x14ac:dyDescent="0.2">
      <c r="A93" s="340" t="s">
        <v>1089</v>
      </c>
      <c r="B93" s="341" t="s">
        <v>1090</v>
      </c>
      <c r="C93" s="1060"/>
      <c r="D93" s="1060"/>
      <c r="E93" s="1077"/>
      <c r="F93" s="1077"/>
      <c r="G93" s="346"/>
      <c r="H93" s="346"/>
      <c r="I93" s="346"/>
      <c r="J93" s="346"/>
      <c r="K93" s="346"/>
      <c r="L93" s="346"/>
      <c r="M93" s="346"/>
    </row>
    <row r="94" spans="1:13" x14ac:dyDescent="0.2">
      <c r="A94" s="337"/>
      <c r="B94" s="341" t="s">
        <v>1091</v>
      </c>
      <c r="C94" s="1060"/>
      <c r="D94" s="1055"/>
      <c r="E94" s="1069"/>
      <c r="F94" s="1069"/>
    </row>
    <row r="95" spans="1:13" x14ac:dyDescent="0.2">
      <c r="A95" s="337">
        <v>14001</v>
      </c>
      <c r="B95" s="324" t="s">
        <v>1092</v>
      </c>
      <c r="C95" s="1055">
        <f>+'[15]Input Sheet'!R69</f>
        <v>53.848957425999998</v>
      </c>
      <c r="D95" s="1055"/>
      <c r="E95" s="1069">
        <v>49.415079493999997</v>
      </c>
      <c r="F95" s="1069"/>
    </row>
    <row r="96" spans="1:13" x14ac:dyDescent="0.2">
      <c r="A96" s="337">
        <v>14101</v>
      </c>
      <c r="B96" s="324" t="s">
        <v>1093</v>
      </c>
      <c r="C96" s="1055">
        <f>+'[15]Input Sheet'!R70</f>
        <v>0</v>
      </c>
      <c r="D96" s="1055"/>
      <c r="E96" s="1069">
        <v>1.0268333460000001</v>
      </c>
      <c r="F96" s="1069"/>
    </row>
    <row r="97" spans="1:6" x14ac:dyDescent="0.2">
      <c r="A97" s="337">
        <v>14102</v>
      </c>
      <c r="B97" s="324" t="s">
        <v>1094</v>
      </c>
      <c r="C97" s="1055">
        <f>+'[15]Input Sheet'!R71</f>
        <v>0</v>
      </c>
      <c r="D97" s="1055"/>
      <c r="E97" s="1069">
        <v>0</v>
      </c>
      <c r="F97" s="1069"/>
    </row>
    <row r="98" spans="1:6" x14ac:dyDescent="0.2">
      <c r="A98" s="337">
        <v>14201</v>
      </c>
      <c r="B98" s="324" t="s">
        <v>1095</v>
      </c>
      <c r="C98" s="1055">
        <f>+'[15]Input Sheet'!R72</f>
        <v>1570.1811338749999</v>
      </c>
      <c r="D98" s="1055"/>
      <c r="E98" s="1069">
        <v>1358.794087985</v>
      </c>
      <c r="F98" s="1069"/>
    </row>
    <row r="99" spans="1:6" x14ac:dyDescent="0.2">
      <c r="A99" s="337">
        <v>14202</v>
      </c>
      <c r="B99" s="324" t="s">
        <v>1096</v>
      </c>
      <c r="C99" s="1055">
        <f>+'[15]Input Sheet'!R73</f>
        <v>32.422510976999995</v>
      </c>
      <c r="D99" s="1055"/>
      <c r="E99" s="1069">
        <v>33.960707767000002</v>
      </c>
      <c r="F99" s="1069"/>
    </row>
    <row r="100" spans="1:6" x14ac:dyDescent="0.2">
      <c r="A100" s="337">
        <v>14301</v>
      </c>
      <c r="B100" s="324" t="s">
        <v>1097</v>
      </c>
      <c r="C100" s="1055">
        <f>+'[15]Input Sheet'!R74</f>
        <v>0</v>
      </c>
      <c r="D100" s="1055"/>
      <c r="E100" s="1069">
        <v>0.99034164399999991</v>
      </c>
      <c r="F100" s="1069"/>
    </row>
    <row r="101" spans="1:6" x14ac:dyDescent="0.2">
      <c r="A101" s="337">
        <v>14401</v>
      </c>
      <c r="B101" s="324" t="s">
        <v>1098</v>
      </c>
      <c r="C101" s="1055">
        <f>+'[15]Input Sheet'!R75</f>
        <v>5.5679882899999997</v>
      </c>
      <c r="D101" s="1055"/>
      <c r="E101" s="1069">
        <v>3.3868003200000003</v>
      </c>
      <c r="F101" s="1069"/>
    </row>
    <row r="102" spans="1:6" x14ac:dyDescent="0.2">
      <c r="A102" s="337">
        <v>14402</v>
      </c>
      <c r="B102" s="324" t="s">
        <v>1099</v>
      </c>
      <c r="C102" s="1055">
        <f>+'[15]Input Sheet'!R76</f>
        <v>18.465584227000001</v>
      </c>
      <c r="D102" s="1055"/>
      <c r="E102" s="1069">
        <v>36.384066302000001</v>
      </c>
      <c r="F102" s="1069"/>
    </row>
    <row r="103" spans="1:6" x14ac:dyDescent="0.2">
      <c r="A103" s="337">
        <v>14501</v>
      </c>
      <c r="B103" s="324" t="s">
        <v>1100</v>
      </c>
      <c r="C103" s="1055">
        <f>+'[15]Input Sheet'!R77</f>
        <v>4178.4478459250004</v>
      </c>
      <c r="D103" s="1055"/>
      <c r="E103" s="1069">
        <v>3289.7889157119998</v>
      </c>
      <c r="F103" s="1069"/>
    </row>
    <row r="104" spans="1:6" x14ac:dyDescent="0.2">
      <c r="A104" s="337">
        <v>14502</v>
      </c>
      <c r="B104" s="343" t="s">
        <v>1101</v>
      </c>
      <c r="C104" s="1055">
        <f>+'[15]Input Sheet'!R78</f>
        <v>0</v>
      </c>
      <c r="D104" s="1055"/>
      <c r="E104" s="1069">
        <v>0</v>
      </c>
      <c r="F104" s="1069"/>
    </row>
    <row r="105" spans="1:6" x14ac:dyDescent="0.2">
      <c r="A105" s="337">
        <v>14601</v>
      </c>
      <c r="B105" s="324" t="s">
        <v>1102</v>
      </c>
      <c r="C105" s="1055">
        <f>+'[15]Input Sheet'!R79</f>
        <v>0</v>
      </c>
      <c r="D105" s="1055"/>
      <c r="E105" s="1069">
        <v>0</v>
      </c>
      <c r="F105" s="1069"/>
    </row>
    <row r="106" spans="1:6" x14ac:dyDescent="0.2">
      <c r="A106" s="337">
        <v>14701</v>
      </c>
      <c r="B106" s="324" t="s">
        <v>1103</v>
      </c>
      <c r="C106" s="1055">
        <f>+'[15]Input Sheet'!R80</f>
        <v>5.2600000000000002E-7</v>
      </c>
      <c r="D106" s="1055"/>
      <c r="E106" s="1069">
        <v>5.2600000000000002E-7</v>
      </c>
      <c r="F106" s="1069"/>
    </row>
    <row r="107" spans="1:6" x14ac:dyDescent="0.2">
      <c r="A107" s="337">
        <v>14801</v>
      </c>
      <c r="B107" s="324" t="s">
        <v>1104</v>
      </c>
      <c r="C107" s="1055">
        <f>+'[15]Input Sheet'!R81</f>
        <v>8.9999999999999999E-8</v>
      </c>
      <c r="D107" s="1055"/>
      <c r="E107" s="1069">
        <v>1.285158E-3</v>
      </c>
      <c r="F107" s="1069"/>
    </row>
    <row r="108" spans="1:6" x14ac:dyDescent="0.2">
      <c r="A108" s="337">
        <v>14901</v>
      </c>
      <c r="B108" s="324" t="s">
        <v>1105</v>
      </c>
      <c r="C108" s="1055">
        <f>+'[15]Input Sheet'!R82</f>
        <v>0.83898524800000007</v>
      </c>
      <c r="D108" s="1055"/>
      <c r="E108" s="1069">
        <v>0.46143401900000003</v>
      </c>
      <c r="F108" s="1069"/>
    </row>
    <row r="109" spans="1:6" ht="15.75" x14ac:dyDescent="0.2">
      <c r="A109" s="337"/>
      <c r="B109" s="345" t="s">
        <v>92</v>
      </c>
      <c r="C109" s="1078">
        <f>SUM(C95:C108)</f>
        <v>5859.7730065840005</v>
      </c>
      <c r="D109" s="1079">
        <f>SUM(C95:C108)</f>
        <v>5859.7730065840005</v>
      </c>
      <c r="E109" s="1078">
        <f>SUM(E95:E108)</f>
        <v>4774.2095522730006</v>
      </c>
      <c r="F109" s="1080">
        <f>SUM(E95:E108)</f>
        <v>4774.2095522730006</v>
      </c>
    </row>
    <row r="110" spans="1:6" x14ac:dyDescent="0.2">
      <c r="A110" s="337"/>
      <c r="B110" s="356"/>
      <c r="C110" s="1055"/>
      <c r="D110" s="1055"/>
      <c r="E110" s="1069"/>
      <c r="F110" s="1069"/>
    </row>
    <row r="111" spans="1:6" x14ac:dyDescent="0.2">
      <c r="A111" s="337">
        <v>46962</v>
      </c>
      <c r="B111" s="356" t="s">
        <v>522</v>
      </c>
      <c r="C111" s="1055"/>
      <c r="D111" s="1060">
        <f>-'[15]Input Sheet'!R713</f>
        <v>-65.934250626999997</v>
      </c>
      <c r="E111" s="1069"/>
      <c r="F111" s="1069">
        <v>-70.701254707000004</v>
      </c>
    </row>
    <row r="112" spans="1:6" ht="13.5" thickBot="1" x14ac:dyDescent="0.25">
      <c r="A112" s="337"/>
      <c r="B112" s="348" t="s">
        <v>1106</v>
      </c>
      <c r="C112" s="1063"/>
      <c r="D112" s="1064">
        <f>D109+D111</f>
        <v>5793.8387559570001</v>
      </c>
      <c r="E112" s="1069"/>
      <c r="F112" s="1081">
        <f>F109+F111</f>
        <v>4703.5082975660007</v>
      </c>
    </row>
    <row r="113" spans="1:13" ht="13.5" thickTop="1" x14ac:dyDescent="0.2">
      <c r="A113" s="337"/>
      <c r="B113" s="324"/>
      <c r="C113" s="1055"/>
      <c r="D113" s="1055"/>
      <c r="E113" s="1069"/>
      <c r="F113" s="1069"/>
    </row>
    <row r="114" spans="1:13" x14ac:dyDescent="0.2">
      <c r="A114" s="337">
        <v>14961</v>
      </c>
      <c r="B114" s="348" t="s">
        <v>1107</v>
      </c>
      <c r="C114" s="1063"/>
      <c r="D114" s="1055">
        <f>'[15]Input Sheet'!R84</f>
        <v>574.16186102100005</v>
      </c>
      <c r="E114" s="1069"/>
      <c r="F114" s="1069">
        <v>378.067937207</v>
      </c>
    </row>
    <row r="115" spans="1:13" x14ac:dyDescent="0.2">
      <c r="A115" s="337"/>
      <c r="B115" s="324"/>
      <c r="C115" s="1055"/>
      <c r="D115" s="1055"/>
      <c r="E115" s="1069"/>
      <c r="F115" s="1069"/>
    </row>
    <row r="116" spans="1:13" x14ac:dyDescent="0.2">
      <c r="A116" s="340" t="s">
        <v>12</v>
      </c>
      <c r="B116" s="341" t="s">
        <v>1108</v>
      </c>
      <c r="C116" s="1060"/>
      <c r="D116" s="1060"/>
      <c r="E116" s="1077"/>
      <c r="F116" s="1077"/>
      <c r="G116" s="346"/>
      <c r="H116" s="346"/>
      <c r="I116" s="346"/>
      <c r="J116" s="346"/>
      <c r="K116" s="346"/>
      <c r="L116" s="346"/>
      <c r="M116" s="346"/>
    </row>
    <row r="117" spans="1:13" x14ac:dyDescent="0.2">
      <c r="A117" s="337"/>
      <c r="B117" s="324" t="s">
        <v>1109</v>
      </c>
      <c r="C117" s="1055"/>
      <c r="D117" s="1055"/>
      <c r="E117" s="1069"/>
      <c r="F117" s="1069"/>
    </row>
    <row r="118" spans="1:13" ht="25.5" x14ac:dyDescent="0.2">
      <c r="A118" s="337">
        <v>20001</v>
      </c>
      <c r="B118" s="357" t="s">
        <v>1110</v>
      </c>
      <c r="C118" s="1082"/>
      <c r="D118" s="1055">
        <f>'[15]Input Sheet'!R86</f>
        <v>0.05</v>
      </c>
      <c r="E118" s="1069"/>
      <c r="F118" s="1069">
        <v>0.05</v>
      </c>
    </row>
    <row r="119" spans="1:13" x14ac:dyDescent="0.2">
      <c r="A119" s="337">
        <v>20002</v>
      </c>
      <c r="B119" s="358" t="s">
        <v>1111</v>
      </c>
      <c r="C119" s="1083"/>
      <c r="D119" s="1055">
        <f>'[15]Input Sheet'!R87</f>
        <v>0.05</v>
      </c>
      <c r="E119" s="1069"/>
      <c r="F119" s="1069">
        <v>0.05</v>
      </c>
    </row>
    <row r="120" spans="1:13" x14ac:dyDescent="0.2">
      <c r="A120" s="337">
        <v>20201</v>
      </c>
      <c r="B120" s="358" t="s">
        <v>1112</v>
      </c>
      <c r="C120" s="1083"/>
      <c r="D120" s="1055">
        <f>'[15]Input Sheet'!R88</f>
        <v>0.03</v>
      </c>
      <c r="E120" s="1069"/>
      <c r="F120" s="1069">
        <v>0.03</v>
      </c>
    </row>
    <row r="121" spans="1:13" x14ac:dyDescent="0.2">
      <c r="A121" s="337">
        <v>20202</v>
      </c>
      <c r="B121" s="358" t="s">
        <v>1113</v>
      </c>
      <c r="C121" s="1083"/>
      <c r="D121" s="1055">
        <f>'[15]Input Sheet'!R89</f>
        <v>0.03</v>
      </c>
      <c r="E121" s="1069"/>
      <c r="F121" s="1069">
        <v>0.03</v>
      </c>
    </row>
    <row r="122" spans="1:13" x14ac:dyDescent="0.2">
      <c r="A122" s="337">
        <v>20203</v>
      </c>
      <c r="B122" s="324" t="s">
        <v>1114</v>
      </c>
      <c r="C122" s="1072"/>
      <c r="D122" s="1055">
        <f>'[15]Input Sheet'!R90</f>
        <v>0</v>
      </c>
      <c r="E122" s="1069"/>
      <c r="F122" s="1069">
        <v>0</v>
      </c>
    </row>
    <row r="123" spans="1:13" x14ac:dyDescent="0.2">
      <c r="A123" s="343">
        <v>20204</v>
      </c>
      <c r="B123" s="324" t="s">
        <v>1115</v>
      </c>
      <c r="C123" s="1084"/>
      <c r="D123" s="1055">
        <f>'[15]Input Sheet'!R91</f>
        <v>0.52</v>
      </c>
      <c r="E123" s="1069"/>
      <c r="F123" s="1069">
        <v>0.52</v>
      </c>
    </row>
    <row r="124" spans="1:13" x14ac:dyDescent="0.2">
      <c r="A124" s="337">
        <v>20501</v>
      </c>
      <c r="B124" s="324" t="s">
        <v>1116</v>
      </c>
      <c r="C124" s="1072"/>
      <c r="D124" s="1055">
        <f>'[15]Input Sheet'!R92</f>
        <v>0</v>
      </c>
      <c r="E124" s="1069"/>
      <c r="F124" s="1085">
        <v>0</v>
      </c>
    </row>
    <row r="125" spans="1:13" ht="15.75" x14ac:dyDescent="0.2">
      <c r="A125" s="337"/>
      <c r="B125" s="345" t="s">
        <v>1117</v>
      </c>
      <c r="C125" s="1058"/>
      <c r="D125" s="1055">
        <f>SUM(D118:D124)</f>
        <v>0.68</v>
      </c>
      <c r="E125" s="1069"/>
      <c r="F125" s="1069">
        <f>SUM(F118:F124)</f>
        <v>0.68</v>
      </c>
    </row>
    <row r="126" spans="1:13" x14ac:dyDescent="0.2">
      <c r="A126" s="337"/>
      <c r="B126" s="324"/>
      <c r="C126" s="1055"/>
      <c r="D126" s="1055"/>
      <c r="E126" s="1069"/>
      <c r="F126" s="1069"/>
    </row>
    <row r="127" spans="1:13" x14ac:dyDescent="0.2">
      <c r="A127" s="337"/>
      <c r="B127" s="341" t="s">
        <v>1118</v>
      </c>
      <c r="C127" s="1055"/>
      <c r="D127" s="1055"/>
      <c r="E127" s="1069"/>
      <c r="F127" s="1069"/>
    </row>
    <row r="128" spans="1:13" ht="25.5" x14ac:dyDescent="0.2">
      <c r="A128" s="337">
        <v>26001</v>
      </c>
      <c r="B128" s="359" t="s">
        <v>1119</v>
      </c>
      <c r="C128" s="1086"/>
      <c r="D128" s="1055">
        <f>'[15]Input Sheet'!R476</f>
        <v>1.8209302000000001</v>
      </c>
      <c r="E128" s="1069" t="s">
        <v>817</v>
      </c>
      <c r="F128" s="1069">
        <v>1.7216032999999999</v>
      </c>
    </row>
    <row r="129" spans="1:10" x14ac:dyDescent="0.2">
      <c r="A129" s="337">
        <v>26002</v>
      </c>
      <c r="B129" s="359" t="s">
        <v>1120</v>
      </c>
      <c r="C129" s="1086"/>
      <c r="D129" s="1055">
        <f>'[15]Input Sheet'!R477</f>
        <v>6.1968694289999995</v>
      </c>
      <c r="E129" s="1069" t="s">
        <v>817</v>
      </c>
      <c r="F129" s="1069">
        <v>6.1937194289999997</v>
      </c>
      <c r="H129" s="360"/>
    </row>
    <row r="130" spans="1:10" x14ac:dyDescent="0.2">
      <c r="A130" s="337">
        <v>26003</v>
      </c>
      <c r="B130" s="359" t="s">
        <v>1121</v>
      </c>
      <c r="C130" s="1086"/>
      <c r="D130" s="1055">
        <f>'[15]Input Sheet'!R478</f>
        <v>0</v>
      </c>
      <c r="E130" s="1069" t="s">
        <v>817</v>
      </c>
      <c r="F130" s="1069">
        <v>0</v>
      </c>
      <c r="H130" s="360"/>
    </row>
    <row r="131" spans="1:10" ht="15" x14ac:dyDescent="0.2">
      <c r="A131" s="361">
        <v>26005</v>
      </c>
      <c r="B131" s="347" t="s">
        <v>1122</v>
      </c>
      <c r="C131" s="1087"/>
      <c r="D131" s="1055">
        <f>'[15]Input Sheet'!R480</f>
        <v>0</v>
      </c>
      <c r="E131" s="1069" t="s">
        <v>817</v>
      </c>
      <c r="F131" s="1069">
        <v>0</v>
      </c>
      <c r="H131" s="360"/>
    </row>
    <row r="132" spans="1:10" x14ac:dyDescent="0.2">
      <c r="A132" s="337">
        <v>26201</v>
      </c>
      <c r="B132" s="359" t="s">
        <v>1123</v>
      </c>
      <c r="C132" s="1086"/>
      <c r="D132" s="1055">
        <f>'[15]Input Sheet'!R481</f>
        <v>0.46325</v>
      </c>
      <c r="E132" s="1069" t="s">
        <v>817</v>
      </c>
      <c r="F132" s="1069">
        <v>0.46325</v>
      </c>
      <c r="H132" s="360"/>
    </row>
    <row r="133" spans="1:10" x14ac:dyDescent="0.2">
      <c r="A133" s="337">
        <v>26202</v>
      </c>
      <c r="B133" s="359" t="s">
        <v>1124</v>
      </c>
      <c r="C133" s="1086"/>
      <c r="D133" s="1055">
        <f>'[15]Input Sheet'!R482</f>
        <v>41.093311154000006</v>
      </c>
      <c r="E133" s="1069" t="s">
        <v>817</v>
      </c>
      <c r="F133" s="1069">
        <v>40.798698154</v>
      </c>
      <c r="H133" s="360"/>
    </row>
    <row r="134" spans="1:10" ht="15" x14ac:dyDescent="0.2">
      <c r="A134" s="361">
        <v>26203</v>
      </c>
      <c r="B134" s="347" t="s">
        <v>1125</v>
      </c>
      <c r="C134" s="1087"/>
      <c r="D134" s="1055">
        <f>'[15]Input Sheet'!R483</f>
        <v>0</v>
      </c>
      <c r="E134" s="1069" t="s">
        <v>817</v>
      </c>
      <c r="F134" s="1069">
        <v>0</v>
      </c>
    </row>
    <row r="135" spans="1:10" ht="15.75" x14ac:dyDescent="0.2">
      <c r="A135" s="337"/>
      <c r="B135" s="345" t="s">
        <v>1126</v>
      </c>
      <c r="C135" s="1058"/>
      <c r="D135" s="1079">
        <f>SUM(D128:D134)</f>
        <v>49.574360783000003</v>
      </c>
      <c r="E135" s="1069"/>
      <c r="F135" s="1080">
        <f>SUM(F128:F134)</f>
        <v>49.177270882999998</v>
      </c>
    </row>
    <row r="136" spans="1:10" x14ac:dyDescent="0.2">
      <c r="A136" s="337"/>
      <c r="B136" s="324"/>
      <c r="C136" s="1055"/>
      <c r="D136" s="1055"/>
      <c r="E136" s="1069"/>
      <c r="F136" s="1069"/>
    </row>
    <row r="137" spans="1:10" ht="25.5" x14ac:dyDescent="0.2">
      <c r="A137" s="337"/>
      <c r="B137" s="359" t="s">
        <v>1127</v>
      </c>
      <c r="C137" s="1086"/>
      <c r="D137" s="1055"/>
      <c r="E137" s="1069"/>
      <c r="F137" s="1069"/>
    </row>
    <row r="138" spans="1:10" x14ac:dyDescent="0.2">
      <c r="A138" s="337">
        <v>27901</v>
      </c>
      <c r="B138" s="359" t="s">
        <v>1120</v>
      </c>
      <c r="C138" s="1086">
        <f>+'[15]Input Sheet'!R509-SUM(C139:C140)-SUM(C145:C147)+D174</f>
        <v>6.1968694289999924</v>
      </c>
      <c r="D138" s="1055"/>
      <c r="E138" s="1069">
        <v>6.1937194289999971</v>
      </c>
      <c r="F138" s="1069"/>
    </row>
    <row r="139" spans="1:10" x14ac:dyDescent="0.2">
      <c r="A139" s="337">
        <v>27901</v>
      </c>
      <c r="B139" s="359" t="s">
        <v>1123</v>
      </c>
      <c r="C139" s="1086">
        <f>D132</f>
        <v>0.46325</v>
      </c>
      <c r="D139" s="1055"/>
      <c r="E139" s="1069">
        <v>0.46325</v>
      </c>
      <c r="F139" s="1069"/>
    </row>
    <row r="140" spans="1:10" x14ac:dyDescent="0.2">
      <c r="A140" s="337">
        <v>27901</v>
      </c>
      <c r="B140" s="359" t="s">
        <v>1124</v>
      </c>
      <c r="C140" s="1086">
        <f>D133</f>
        <v>41.093311154000006</v>
      </c>
      <c r="D140" s="1055"/>
      <c r="E140" s="1069">
        <v>40.798698154</v>
      </c>
      <c r="F140" s="1069"/>
    </row>
    <row r="141" spans="1:10" x14ac:dyDescent="0.2">
      <c r="A141" s="337"/>
      <c r="B141" s="359"/>
      <c r="C141" s="1086"/>
      <c r="D141" s="1055"/>
      <c r="E141" s="1069"/>
      <c r="F141" s="1069"/>
    </row>
    <row r="142" spans="1:10" ht="15.75" x14ac:dyDescent="0.2">
      <c r="A142" s="337"/>
      <c r="B142" s="345" t="s">
        <v>1128</v>
      </c>
      <c r="C142" s="1078">
        <f>SUM(C138:C141)</f>
        <v>47.753430582999997</v>
      </c>
      <c r="D142" s="1079">
        <f>SUM(C138:C141)</f>
        <v>47.753430582999997</v>
      </c>
      <c r="E142" s="1078">
        <f>SUM(E138:E141)</f>
        <v>47.455667583</v>
      </c>
      <c r="F142" s="1080">
        <f>SUM(E138:E141)</f>
        <v>47.455667583</v>
      </c>
      <c r="J142" s="346"/>
    </row>
    <row r="143" spans="1:10" x14ac:dyDescent="0.2">
      <c r="A143" s="337"/>
      <c r="B143" s="324"/>
      <c r="C143" s="1055"/>
      <c r="D143" s="1060"/>
      <c r="E143" s="1069"/>
      <c r="F143" s="1069"/>
      <c r="J143" s="346"/>
    </row>
    <row r="144" spans="1:10" ht="25.5" x14ac:dyDescent="0.2">
      <c r="A144" s="337"/>
      <c r="B144" s="359" t="s">
        <v>1129</v>
      </c>
      <c r="C144" s="1086"/>
      <c r="D144" s="1055"/>
      <c r="E144" s="1069"/>
      <c r="F144" s="1069"/>
    </row>
    <row r="145" spans="1:13" x14ac:dyDescent="0.2">
      <c r="A145" s="337">
        <v>27901</v>
      </c>
      <c r="B145" s="359" t="s">
        <v>1120</v>
      </c>
      <c r="C145" s="1086">
        <f>D119</f>
        <v>0.05</v>
      </c>
      <c r="D145" s="1055"/>
      <c r="E145" s="1069">
        <v>0.05</v>
      </c>
      <c r="F145" s="1069"/>
    </row>
    <row r="146" spans="1:13" x14ac:dyDescent="0.2">
      <c r="A146" s="337">
        <v>27901</v>
      </c>
      <c r="B146" s="359" t="s">
        <v>1123</v>
      </c>
      <c r="C146" s="1086">
        <f>D120</f>
        <v>0.03</v>
      </c>
      <c r="D146" s="1055"/>
      <c r="E146" s="1069">
        <v>0.03</v>
      </c>
      <c r="F146" s="1069"/>
    </row>
    <row r="147" spans="1:13" x14ac:dyDescent="0.2">
      <c r="A147" s="337">
        <v>27901</v>
      </c>
      <c r="B147" s="359" t="s">
        <v>1124</v>
      </c>
      <c r="C147" s="1086">
        <f>D121</f>
        <v>0.03</v>
      </c>
      <c r="D147" s="1055"/>
      <c r="E147" s="1069">
        <v>0.03</v>
      </c>
      <c r="F147" s="1069"/>
    </row>
    <row r="148" spans="1:13" ht="15.75" x14ac:dyDescent="0.2">
      <c r="A148" s="337"/>
      <c r="B148" s="345" t="s">
        <v>1130</v>
      </c>
      <c r="C148" s="1058">
        <f>SUM(C145:C147)</f>
        <v>0.11</v>
      </c>
      <c r="D148" s="1060">
        <f>SUM(C145:C147)</f>
        <v>0.11</v>
      </c>
      <c r="E148" s="1058">
        <f>SUM(E145:E147)</f>
        <v>0.11</v>
      </c>
      <c r="F148" s="1070">
        <f>SUM(E145:E147)</f>
        <v>0.11</v>
      </c>
      <c r="J148" s="346"/>
    </row>
    <row r="149" spans="1:13" ht="16.5" thickBot="1" x14ac:dyDescent="0.25">
      <c r="A149" s="337"/>
      <c r="B149" s="362" t="s">
        <v>1131</v>
      </c>
      <c r="C149" s="1088"/>
      <c r="D149" s="1064">
        <f>D125+D135-D142-D148</f>
        <v>2.3909302000000063</v>
      </c>
      <c r="E149" s="1088"/>
      <c r="F149" s="1081">
        <f>F125+F135-F142-F148</f>
        <v>2.291603299999998</v>
      </c>
      <c r="J149" s="346"/>
    </row>
    <row r="150" spans="1:13" ht="13.5" thickTop="1" x14ac:dyDescent="0.2">
      <c r="A150" s="337"/>
      <c r="B150" s="359"/>
      <c r="C150" s="1086"/>
      <c r="D150" s="1060"/>
      <c r="E150" s="1069"/>
      <c r="F150" s="1069"/>
      <c r="J150" s="346"/>
    </row>
    <row r="151" spans="1:13" x14ac:dyDescent="0.2">
      <c r="A151" s="340" t="s">
        <v>1132</v>
      </c>
      <c r="B151" s="341" t="s">
        <v>1133</v>
      </c>
      <c r="C151" s="1060"/>
      <c r="D151" s="1060"/>
      <c r="E151" s="1077"/>
      <c r="F151" s="1077"/>
      <c r="G151" s="346"/>
      <c r="H151" s="346"/>
      <c r="I151" s="346"/>
      <c r="J151" s="346"/>
      <c r="K151" s="346"/>
      <c r="L151" s="346"/>
      <c r="M151" s="346"/>
    </row>
    <row r="152" spans="1:13" x14ac:dyDescent="0.2">
      <c r="A152" s="337">
        <v>25101</v>
      </c>
      <c r="B152" s="363" t="s">
        <v>1134</v>
      </c>
      <c r="C152" s="1089">
        <f>'[15]Input Sheet'!R473</f>
        <v>0</v>
      </c>
      <c r="D152" s="1055"/>
      <c r="E152" s="1069">
        <v>0</v>
      </c>
      <c r="F152" s="1069"/>
    </row>
    <row r="153" spans="1:13" x14ac:dyDescent="0.2">
      <c r="A153" s="337">
        <v>25102</v>
      </c>
      <c r="B153" s="363" t="s">
        <v>1135</v>
      </c>
      <c r="C153" s="1089">
        <f>'[15]Input Sheet'!R474</f>
        <v>50.636203999999999</v>
      </c>
      <c r="D153" s="1055"/>
      <c r="E153" s="1069">
        <v>48.493862800000002</v>
      </c>
      <c r="F153" s="1069"/>
    </row>
    <row r="154" spans="1:13" x14ac:dyDescent="0.2">
      <c r="A154" s="337">
        <v>25103</v>
      </c>
      <c r="B154" s="363" t="s">
        <v>1136</v>
      </c>
      <c r="C154" s="1089">
        <f>'[15]Input Sheet'!R475</f>
        <v>40.57</v>
      </c>
      <c r="D154" s="1055"/>
      <c r="E154" s="1069">
        <v>40.568199999999997</v>
      </c>
      <c r="F154" s="1069">
        <f>SUM(E152:E154)</f>
        <v>89.062062800000007</v>
      </c>
    </row>
    <row r="155" spans="1:13" ht="13.5" thickBot="1" x14ac:dyDescent="0.25">
      <c r="A155" s="337"/>
      <c r="B155" s="364"/>
      <c r="C155" s="1090">
        <f>SUM(C152:C154)</f>
        <v>91.206204</v>
      </c>
      <c r="D155" s="1091">
        <f>SUM(C152:C154)</f>
        <v>91.206204</v>
      </c>
      <c r="E155" s="1069"/>
      <c r="F155" s="1092">
        <f>SUM(F152:F154)</f>
        <v>89.062062800000007</v>
      </c>
    </row>
    <row r="156" spans="1:13" ht="13.5" thickTop="1" x14ac:dyDescent="0.2">
      <c r="A156" s="337"/>
      <c r="B156" s="324"/>
      <c r="C156" s="1055"/>
      <c r="D156" s="1055"/>
      <c r="E156" s="1069"/>
      <c r="F156" s="1069"/>
    </row>
    <row r="157" spans="1:13" x14ac:dyDescent="0.2">
      <c r="A157" s="340" t="s">
        <v>1137</v>
      </c>
      <c r="B157" s="341" t="s">
        <v>1138</v>
      </c>
      <c r="C157" s="1060"/>
      <c r="D157" s="1060"/>
      <c r="E157" s="1077"/>
      <c r="F157" s="1077"/>
      <c r="G157" s="346"/>
      <c r="H157" s="346"/>
      <c r="I157" s="346"/>
      <c r="J157" s="346"/>
      <c r="K157" s="346"/>
      <c r="L157" s="346"/>
      <c r="M157" s="346"/>
    </row>
    <row r="158" spans="1:13" x14ac:dyDescent="0.2">
      <c r="A158" s="337">
        <v>99205</v>
      </c>
      <c r="B158" s="363" t="s">
        <v>869</v>
      </c>
      <c r="C158" s="1093"/>
      <c r="D158" s="1055">
        <f>+K1422</f>
        <v>0</v>
      </c>
      <c r="E158" s="1069"/>
      <c r="F158" s="1069"/>
    </row>
    <row r="159" spans="1:13" x14ac:dyDescent="0.2">
      <c r="A159" s="337">
        <v>27902</v>
      </c>
      <c r="B159" s="365" t="s">
        <v>870</v>
      </c>
      <c r="C159" s="1094"/>
      <c r="D159" s="1095">
        <f>+L1422</f>
        <v>0</v>
      </c>
      <c r="E159" s="1069"/>
      <c r="F159" s="1069"/>
    </row>
    <row r="160" spans="1:13" ht="15.75" x14ac:dyDescent="0.2">
      <c r="A160" s="352"/>
      <c r="B160" s="366" t="s">
        <v>92</v>
      </c>
      <c r="C160" s="1096"/>
      <c r="D160" s="1074">
        <f>SUM(D158:D159)</f>
        <v>0</v>
      </c>
      <c r="E160" s="1069"/>
      <c r="F160" s="1069"/>
    </row>
    <row r="161" spans="1:13" x14ac:dyDescent="0.2">
      <c r="A161" s="367"/>
      <c r="B161" s="368"/>
      <c r="C161" s="1097"/>
      <c r="D161" s="1098"/>
      <c r="E161" s="1069"/>
      <c r="F161" s="1069"/>
    </row>
    <row r="162" spans="1:13" x14ac:dyDescent="0.2">
      <c r="A162" s="369" t="s">
        <v>14</v>
      </c>
      <c r="B162" s="370" t="s">
        <v>1139</v>
      </c>
      <c r="C162" s="1079"/>
      <c r="D162" s="1079"/>
      <c r="E162" s="1077"/>
      <c r="F162" s="1077"/>
      <c r="G162" s="346"/>
      <c r="H162" s="346"/>
      <c r="I162" s="346"/>
      <c r="J162" s="346"/>
      <c r="K162" s="346"/>
      <c r="L162" s="346"/>
      <c r="M162" s="346"/>
    </row>
    <row r="163" spans="1:13" x14ac:dyDescent="0.2">
      <c r="A163" s="371">
        <v>99101</v>
      </c>
      <c r="B163" s="372" t="s">
        <v>1140</v>
      </c>
      <c r="C163" s="1099">
        <f>++K1410</f>
        <v>233.91713381899996</v>
      </c>
      <c r="D163" s="1099"/>
      <c r="E163" s="1099">
        <v>327.00711606000004</v>
      </c>
      <c r="F163" s="1100"/>
    </row>
    <row r="164" spans="1:13" x14ac:dyDescent="0.2">
      <c r="A164" s="337">
        <v>26004</v>
      </c>
      <c r="B164" s="359" t="s">
        <v>1141</v>
      </c>
      <c r="C164" s="1086">
        <f>'[15]Input Sheet'!R479</f>
        <v>4.8521920999999999</v>
      </c>
      <c r="D164" s="1055"/>
      <c r="E164" s="1069">
        <v>4.8521920999999999</v>
      </c>
      <c r="F164" s="1069"/>
      <c r="H164" s="360"/>
    </row>
    <row r="165" spans="1:13" ht="12" customHeight="1" x14ac:dyDescent="0.2">
      <c r="A165" s="337">
        <v>27890</v>
      </c>
      <c r="B165" s="373" t="s">
        <v>1142</v>
      </c>
      <c r="C165" s="1101">
        <f>+'[15]Input Sheet'!R507</f>
        <v>0</v>
      </c>
      <c r="D165" s="1055"/>
      <c r="E165" s="1069">
        <v>0</v>
      </c>
      <c r="F165" s="1069"/>
    </row>
    <row r="166" spans="1:13" x14ac:dyDescent="0.2">
      <c r="A166" s="337">
        <v>28401</v>
      </c>
      <c r="B166" s="373" t="s">
        <v>1143</v>
      </c>
      <c r="C166" s="1101">
        <f>+'[15]Input Sheet'!R512</f>
        <v>0</v>
      </c>
      <c r="D166" s="1055"/>
      <c r="E166" s="1069">
        <v>0</v>
      </c>
      <c r="F166" s="1069"/>
    </row>
    <row r="167" spans="1:13" x14ac:dyDescent="0.2">
      <c r="A167" s="337">
        <v>28801</v>
      </c>
      <c r="B167" s="373" t="s">
        <v>1144</v>
      </c>
      <c r="C167" s="1101">
        <f>+'[15]Input Sheet'!R516</f>
        <v>0</v>
      </c>
      <c r="D167" s="1055"/>
      <c r="E167" s="1069">
        <v>0</v>
      </c>
      <c r="F167" s="1069"/>
    </row>
    <row r="168" spans="1:13" x14ac:dyDescent="0.2">
      <c r="A168" s="337">
        <v>28809</v>
      </c>
      <c r="B168" s="373" t="s">
        <v>1145</v>
      </c>
      <c r="C168" s="1101">
        <f>+'[15]Input Sheet'!R519</f>
        <v>0</v>
      </c>
      <c r="D168" s="1055"/>
      <c r="E168" s="1069">
        <v>0</v>
      </c>
      <c r="F168" s="1069"/>
    </row>
    <row r="169" spans="1:13" x14ac:dyDescent="0.2">
      <c r="A169" s="337">
        <v>99120</v>
      </c>
      <c r="B169" s="373" t="s">
        <v>1146</v>
      </c>
      <c r="C169" s="1101">
        <f>+'[15]Input Sheet'!R1363</f>
        <v>0</v>
      </c>
      <c r="D169" s="1055"/>
      <c r="E169" s="1069">
        <v>0</v>
      </c>
      <c r="F169" s="1069"/>
    </row>
    <row r="170" spans="1:13" x14ac:dyDescent="0.2">
      <c r="A170" s="337">
        <v>28811</v>
      </c>
      <c r="B170" s="373" t="s">
        <v>1147</v>
      </c>
      <c r="C170" s="1101">
        <f>+'[15]Input Sheet'!R520</f>
        <v>0</v>
      </c>
      <c r="D170" s="1055"/>
      <c r="E170" s="1069">
        <v>0</v>
      </c>
      <c r="F170" s="1069"/>
    </row>
    <row r="171" spans="1:13" x14ac:dyDescent="0.2">
      <c r="A171" s="337">
        <v>99109</v>
      </c>
      <c r="B171" s="343" t="s">
        <v>1148</v>
      </c>
      <c r="C171" s="1101">
        <f>+'[15]Input Sheet'!R1355</f>
        <v>0</v>
      </c>
      <c r="D171" s="1055"/>
      <c r="E171" s="1069">
        <v>0</v>
      </c>
      <c r="F171" s="1069"/>
    </row>
    <row r="172" spans="1:13" x14ac:dyDescent="0.2">
      <c r="A172" s="337"/>
      <c r="B172" s="374" t="s">
        <v>92</v>
      </c>
      <c r="C172" s="1102">
        <f>SUM(C163:C171)</f>
        <v>238.76932591899995</v>
      </c>
      <c r="D172" s="1055">
        <f>SUM(C163:C171)</f>
        <v>238.76932591899995</v>
      </c>
      <c r="E172" s="1102">
        <f>SUM(E163:E171)</f>
        <v>331.85930816000007</v>
      </c>
      <c r="F172" s="1103">
        <f>SUM(E163:E171)</f>
        <v>331.85930816000007</v>
      </c>
    </row>
    <row r="173" spans="1:13" x14ac:dyDescent="0.2">
      <c r="A173" s="371">
        <v>27900</v>
      </c>
      <c r="B173" s="372" t="s">
        <v>549</v>
      </c>
      <c r="C173" s="1099"/>
      <c r="D173" s="1099">
        <f>+L1410</f>
        <v>-233.91713381899996</v>
      </c>
      <c r="E173" s="1099"/>
      <c r="F173" s="1100">
        <f>-E163</f>
        <v>-327.00711606000004</v>
      </c>
    </row>
    <row r="174" spans="1:13" x14ac:dyDescent="0.2">
      <c r="A174" s="337">
        <v>27901</v>
      </c>
      <c r="B174" s="359" t="s">
        <v>1141</v>
      </c>
      <c r="C174" s="1086"/>
      <c r="D174" s="1055">
        <f>-C164</f>
        <v>-4.8521920999999999</v>
      </c>
      <c r="E174" s="1069"/>
      <c r="F174" s="1069">
        <v>-4.8521920999999999</v>
      </c>
    </row>
    <row r="175" spans="1:13" x14ac:dyDescent="0.2">
      <c r="A175" s="337"/>
      <c r="B175" s="374" t="s">
        <v>525</v>
      </c>
      <c r="C175" s="1102"/>
      <c r="D175" s="1055">
        <f>SUM(D172:D174)</f>
        <v>0</v>
      </c>
      <c r="E175" s="1069"/>
      <c r="F175" s="1052">
        <f>SUM(F172:F174)</f>
        <v>2.4868995751603507E-14</v>
      </c>
    </row>
    <row r="176" spans="1:13" x14ac:dyDescent="0.2">
      <c r="A176" s="337"/>
      <c r="B176" s="373"/>
      <c r="C176" s="1101"/>
      <c r="D176" s="1055"/>
      <c r="E176" s="1069"/>
      <c r="F176" s="1069"/>
    </row>
    <row r="177" spans="1:6" ht="25.5" x14ac:dyDescent="0.2">
      <c r="A177" s="337">
        <v>28901</v>
      </c>
      <c r="B177" s="375" t="s">
        <v>1149</v>
      </c>
      <c r="C177" s="1082"/>
      <c r="D177" s="1055">
        <f>'[15]Input Sheet'!R540</f>
        <v>0</v>
      </c>
      <c r="E177" s="1069"/>
      <c r="F177" s="1069">
        <v>0</v>
      </c>
    </row>
    <row r="178" spans="1:6" x14ac:dyDescent="0.2">
      <c r="A178" s="337">
        <v>27900</v>
      </c>
      <c r="B178" s="373" t="s">
        <v>549</v>
      </c>
      <c r="C178" s="1101"/>
      <c r="D178" s="1104"/>
      <c r="E178" s="1069"/>
      <c r="F178" s="1069"/>
    </row>
    <row r="179" spans="1:6" x14ac:dyDescent="0.2">
      <c r="A179" s="337"/>
      <c r="B179" s="373"/>
      <c r="C179" s="1101"/>
      <c r="D179" s="1055">
        <f>SUM(D177:D178)</f>
        <v>0</v>
      </c>
      <c r="E179" s="1069"/>
      <c r="F179" s="1066">
        <v>0</v>
      </c>
    </row>
    <row r="180" spans="1:6" x14ac:dyDescent="0.2">
      <c r="A180" s="337"/>
      <c r="B180" s="373"/>
      <c r="C180" s="1101"/>
      <c r="D180" s="1055"/>
      <c r="E180" s="1069"/>
      <c r="F180" s="1069"/>
    </row>
    <row r="181" spans="1:6" x14ac:dyDescent="0.2">
      <c r="A181" s="371">
        <v>99101</v>
      </c>
      <c r="B181" s="343" t="s">
        <v>1150</v>
      </c>
      <c r="C181" s="1105"/>
      <c r="D181" s="1055">
        <f>K1415</f>
        <v>203.595050566</v>
      </c>
      <c r="E181" s="1069"/>
      <c r="F181" s="1055">
        <v>203.595050566</v>
      </c>
    </row>
    <row r="182" spans="1:6" x14ac:dyDescent="0.2">
      <c r="A182" s="337">
        <v>27900</v>
      </c>
      <c r="B182" s="373" t="s">
        <v>549</v>
      </c>
      <c r="C182" s="1101"/>
      <c r="D182" s="1104">
        <f>L1415</f>
        <v>-203.595050566</v>
      </c>
      <c r="E182" s="1069"/>
      <c r="F182" s="1104">
        <v>-203.595050566</v>
      </c>
    </row>
    <row r="183" spans="1:6" x14ac:dyDescent="0.2">
      <c r="A183" s="337"/>
      <c r="B183" s="343"/>
      <c r="C183" s="1105"/>
      <c r="D183" s="1055">
        <f>D181+D182</f>
        <v>0</v>
      </c>
      <c r="E183" s="1069"/>
      <c r="F183" s="1055">
        <f>F181+F182</f>
        <v>0</v>
      </c>
    </row>
    <row r="184" spans="1:6" x14ac:dyDescent="0.2">
      <c r="A184" s="337"/>
      <c r="B184" s="343"/>
      <c r="C184" s="1105"/>
      <c r="D184" s="1055"/>
      <c r="E184" s="1069"/>
      <c r="F184" s="1069"/>
    </row>
    <row r="185" spans="1:6" x14ac:dyDescent="0.2">
      <c r="A185" s="337"/>
      <c r="B185" s="343"/>
      <c r="C185" s="1105"/>
      <c r="D185" s="1055"/>
      <c r="E185" s="1069"/>
      <c r="F185" s="1069"/>
    </row>
    <row r="186" spans="1:6" x14ac:dyDescent="0.2">
      <c r="A186" s="371">
        <v>99101</v>
      </c>
      <c r="B186" s="376" t="s">
        <v>854</v>
      </c>
      <c r="C186" s="376"/>
      <c r="D186" s="376">
        <f>+K1413</f>
        <v>76.211765499999998</v>
      </c>
      <c r="E186" s="376"/>
      <c r="F186" s="376">
        <v>76.211765499999998</v>
      </c>
    </row>
    <row r="187" spans="1:6" x14ac:dyDescent="0.2">
      <c r="A187" s="337">
        <v>46431</v>
      </c>
      <c r="B187" s="376" t="s">
        <v>549</v>
      </c>
      <c r="C187" s="1106"/>
      <c r="D187" s="1106">
        <f>+L1411</f>
        <v>-76.211765499999998</v>
      </c>
      <c r="E187" s="1106"/>
      <c r="F187" s="1106">
        <v>-76.211765499999998</v>
      </c>
    </row>
    <row r="188" spans="1:6" x14ac:dyDescent="0.2">
      <c r="A188" s="337"/>
      <c r="B188" s="324"/>
      <c r="C188" s="1055"/>
      <c r="D188" s="1076">
        <f>SUM(D181:D187)</f>
        <v>0</v>
      </c>
      <c r="E188" s="1069"/>
      <c r="F188" s="1066">
        <v>0</v>
      </c>
    </row>
    <row r="189" spans="1:6" x14ac:dyDescent="0.2">
      <c r="A189" s="337"/>
      <c r="B189" s="324"/>
      <c r="C189" s="1055"/>
      <c r="D189" s="1055"/>
      <c r="E189" s="1069"/>
      <c r="F189" s="1069"/>
    </row>
    <row r="190" spans="1:6" x14ac:dyDescent="0.2">
      <c r="A190" s="337"/>
      <c r="B190" s="363" t="s">
        <v>855</v>
      </c>
      <c r="C190" s="1093"/>
      <c r="D190" s="1055"/>
      <c r="E190" s="1069"/>
      <c r="F190" s="1069"/>
    </row>
    <row r="191" spans="1:6" x14ac:dyDescent="0.2">
      <c r="A191" s="337"/>
      <c r="B191" s="324"/>
      <c r="C191" s="1055"/>
      <c r="D191" s="1055"/>
      <c r="E191" s="1069"/>
      <c r="F191" s="1069"/>
    </row>
    <row r="192" spans="1:6" x14ac:dyDescent="0.2">
      <c r="A192" s="337">
        <v>27401</v>
      </c>
      <c r="B192" s="373" t="s">
        <v>1151</v>
      </c>
      <c r="C192" s="1101">
        <f>+'[15]Input Sheet'!R500</f>
        <v>1270.2212525</v>
      </c>
      <c r="D192" s="1055"/>
      <c r="E192" s="1069">
        <v>1270.2212525</v>
      </c>
      <c r="F192" s="1069"/>
    </row>
    <row r="193" spans="1:7" x14ac:dyDescent="0.2">
      <c r="A193" s="337">
        <v>27411</v>
      </c>
      <c r="B193" s="373" t="s">
        <v>1152</v>
      </c>
      <c r="C193" s="1101">
        <f>+'[15]Input Sheet'!R501</f>
        <v>1.2595403000000001</v>
      </c>
      <c r="D193" s="1055"/>
      <c r="E193" s="1069">
        <v>0.84860199999999997</v>
      </c>
      <c r="F193" s="1069"/>
      <c r="G193" s="163"/>
    </row>
    <row r="194" spans="1:7" x14ac:dyDescent="0.2">
      <c r="A194" s="337">
        <v>27412</v>
      </c>
      <c r="B194" s="373" t="s">
        <v>1153</v>
      </c>
      <c r="C194" s="1101">
        <f>+'[15]Input Sheet'!R502</f>
        <v>5.4722199999999999E-2</v>
      </c>
      <c r="D194" s="1055"/>
      <c r="E194" s="1069">
        <v>5.3627399999999999E-2</v>
      </c>
      <c r="F194" s="1069"/>
    </row>
    <row r="195" spans="1:7" x14ac:dyDescent="0.2">
      <c r="A195" s="337">
        <v>27413</v>
      </c>
      <c r="B195" s="373" t="s">
        <v>1154</v>
      </c>
      <c r="C195" s="1101">
        <f>+'[15]Input Sheet'!R503</f>
        <v>0.94409642400000005</v>
      </c>
      <c r="D195" s="1055"/>
      <c r="E195" s="1069">
        <v>0.87362522399999998</v>
      </c>
      <c r="F195" s="1069"/>
    </row>
    <row r="196" spans="1:7" x14ac:dyDescent="0.2">
      <c r="A196" s="337">
        <v>27415</v>
      </c>
      <c r="B196" s="373" t="s">
        <v>1155</v>
      </c>
      <c r="C196" s="1101">
        <f>+'[15]Input Sheet'!R505</f>
        <v>2.6844937100000004</v>
      </c>
      <c r="D196" s="1055"/>
      <c r="E196" s="1069">
        <v>1.8556589100000001</v>
      </c>
      <c r="F196" s="1069"/>
    </row>
    <row r="197" spans="1:7" x14ac:dyDescent="0.2">
      <c r="A197" s="337">
        <f>+'[15]Input Sheet'!D504</f>
        <v>27414</v>
      </c>
      <c r="B197" s="377" t="str">
        <f>+'[15]Input Sheet'!E504</f>
        <v>TCS credit receivable under section 206</v>
      </c>
      <c r="C197" s="1101">
        <f>'[15]Input Sheet'!Q504</f>
        <v>1.6680127490000001</v>
      </c>
      <c r="D197" s="1055"/>
      <c r="E197" s="1069">
        <v>1.63975721</v>
      </c>
      <c r="F197" s="1069"/>
    </row>
    <row r="198" spans="1:7" x14ac:dyDescent="0.2">
      <c r="A198" s="337">
        <v>27416</v>
      </c>
      <c r="B198" t="s">
        <v>1156</v>
      </c>
      <c r="C198" s="1101">
        <f>+'[15]Input Sheet'!R506</f>
        <v>46.410694900000003</v>
      </c>
      <c r="D198" s="1055"/>
      <c r="E198" s="1069">
        <v>17.9229533</v>
      </c>
      <c r="F198" s="1069"/>
    </row>
    <row r="199" spans="1:7" x14ac:dyDescent="0.2">
      <c r="A199" s="337">
        <v>46800</v>
      </c>
      <c r="B199" s="373" t="s">
        <v>1157</v>
      </c>
      <c r="C199" s="1101">
        <f>+'[15]Input Sheet'!R667</f>
        <v>1026.6424787999999</v>
      </c>
      <c r="D199" s="1104"/>
      <c r="E199" s="1069">
        <v>1026.6424787999999</v>
      </c>
      <c r="F199" s="1069"/>
    </row>
    <row r="200" spans="1:7" x14ac:dyDescent="0.2">
      <c r="A200" s="337"/>
      <c r="B200" s="324" t="s">
        <v>525</v>
      </c>
      <c r="C200" s="1076">
        <f>+SUM(C192:C198)-C199</f>
        <v>296.60033398299993</v>
      </c>
      <c r="D200" s="1055">
        <f>SUM(C192:C198)-C199</f>
        <v>296.60033398299993</v>
      </c>
      <c r="E200" s="1076">
        <f>+SUM(E192:E198)-E199</f>
        <v>266.77299774400035</v>
      </c>
      <c r="F200" s="1103">
        <f>SUM(E192:E198)-E199</f>
        <v>266.77299774400035</v>
      </c>
    </row>
    <row r="201" spans="1:7" x14ac:dyDescent="0.2">
      <c r="A201" s="337"/>
      <c r="B201" s="324"/>
      <c r="C201" s="1055"/>
      <c r="D201" s="1055"/>
      <c r="E201" s="1069"/>
      <c r="F201" s="1069"/>
    </row>
    <row r="202" spans="1:7" x14ac:dyDescent="0.2">
      <c r="A202" s="337"/>
      <c r="B202" s="378" t="s">
        <v>501</v>
      </c>
      <c r="C202" s="1107"/>
      <c r="D202" s="1055"/>
      <c r="E202" s="1069"/>
      <c r="F202" s="1069"/>
    </row>
    <row r="203" spans="1:7" ht="13.5" customHeight="1" x14ac:dyDescent="0.2">
      <c r="A203" s="337">
        <v>27101</v>
      </c>
      <c r="B203" s="373" t="s">
        <v>1158</v>
      </c>
      <c r="C203" s="1101">
        <f>+'[15]Input Sheet'!R485</f>
        <v>0</v>
      </c>
      <c r="D203" s="1055"/>
      <c r="E203" s="1069">
        <v>0</v>
      </c>
      <c r="F203" s="1069"/>
    </row>
    <row r="204" spans="1:7" x14ac:dyDescent="0.2">
      <c r="A204" s="337">
        <v>27102</v>
      </c>
      <c r="B204" s="373" t="s">
        <v>1159</v>
      </c>
      <c r="C204" s="1101">
        <f>+'[15]Input Sheet'!R486</f>
        <v>0</v>
      </c>
      <c r="D204" s="1055"/>
      <c r="E204" s="1069">
        <v>1.8919699999999984E-2</v>
      </c>
      <c r="F204" s="1069"/>
    </row>
    <row r="205" spans="1:7" x14ac:dyDescent="0.2">
      <c r="A205" s="337">
        <v>27103</v>
      </c>
      <c r="B205" s="373" t="s">
        <v>1160</v>
      </c>
      <c r="C205" s="1101">
        <f>+'[15]Input Sheet'!R487</f>
        <v>0</v>
      </c>
      <c r="D205" s="1055"/>
      <c r="E205" s="1069">
        <v>0</v>
      </c>
      <c r="F205" s="1069"/>
    </row>
    <row r="206" spans="1:7" x14ac:dyDescent="0.2">
      <c r="A206" s="337">
        <v>27104</v>
      </c>
      <c r="B206" s="373" t="s">
        <v>1161</v>
      </c>
      <c r="C206" s="1101">
        <f>+'[15]Input Sheet'!R488</f>
        <v>0</v>
      </c>
      <c r="D206" s="1055"/>
      <c r="E206" s="1069">
        <v>0</v>
      </c>
      <c r="F206" s="1069"/>
    </row>
    <row r="207" spans="1:7" x14ac:dyDescent="0.2">
      <c r="A207" s="337">
        <v>27105</v>
      </c>
      <c r="B207" s="373" t="s">
        <v>1162</v>
      </c>
      <c r="C207" s="1101">
        <f>+'[15]Input Sheet'!R489</f>
        <v>0</v>
      </c>
      <c r="D207" s="1055"/>
      <c r="E207" s="1069">
        <v>0.20285145499999999</v>
      </c>
      <c r="F207" s="1069"/>
    </row>
    <row r="208" spans="1:7" x14ac:dyDescent="0.2">
      <c r="A208" s="337">
        <v>27201</v>
      </c>
      <c r="B208" s="373" t="s">
        <v>1163</v>
      </c>
      <c r="C208" s="1101">
        <f>+'[15]Input Sheet'!R490</f>
        <v>0</v>
      </c>
      <c r="D208" s="1055"/>
      <c r="E208" s="1069">
        <v>0</v>
      </c>
      <c r="F208" s="1069"/>
    </row>
    <row r="209" spans="1:6" x14ac:dyDescent="0.2">
      <c r="A209" s="337">
        <v>27202</v>
      </c>
      <c r="B209" s="373" t="s">
        <v>1164</v>
      </c>
      <c r="C209" s="1101">
        <f>+'[15]Input Sheet'!R491</f>
        <v>0</v>
      </c>
      <c r="D209" s="1055"/>
      <c r="E209" s="1069">
        <v>0</v>
      </c>
      <c r="F209" s="1069"/>
    </row>
    <row r="210" spans="1:6" x14ac:dyDescent="0.2">
      <c r="A210" s="337">
        <v>27203</v>
      </c>
      <c r="B210" s="373" t="s">
        <v>1165</v>
      </c>
      <c r="C210" s="1101">
        <f>+'[15]Input Sheet'!R492</f>
        <v>0</v>
      </c>
      <c r="D210" s="1055"/>
      <c r="E210" s="1069">
        <v>0</v>
      </c>
      <c r="F210" s="1069"/>
    </row>
    <row r="211" spans="1:6" x14ac:dyDescent="0.2">
      <c r="A211" s="337">
        <v>27204</v>
      </c>
      <c r="B211" s="373" t="s">
        <v>1166</v>
      </c>
      <c r="C211" s="1101">
        <f>+'[15]Input Sheet'!R493</f>
        <v>0</v>
      </c>
      <c r="D211" s="1055"/>
      <c r="E211" s="1069">
        <v>0</v>
      </c>
      <c r="F211" s="1069"/>
    </row>
    <row r="212" spans="1:6" x14ac:dyDescent="0.2">
      <c r="A212" s="337">
        <v>27205</v>
      </c>
      <c r="B212" s="373" t="s">
        <v>1167</v>
      </c>
      <c r="C212" s="1101">
        <f>+'[15]Input Sheet'!R494</f>
        <v>0</v>
      </c>
      <c r="D212" s="1055"/>
      <c r="E212" s="1069">
        <v>0</v>
      </c>
      <c r="F212" s="1069"/>
    </row>
    <row r="213" spans="1:6" x14ac:dyDescent="0.2">
      <c r="A213" s="337">
        <v>27207</v>
      </c>
      <c r="B213" s="373" t="s">
        <v>1168</v>
      </c>
      <c r="C213" s="1101">
        <f>+'[15]Input Sheet'!R495</f>
        <v>0</v>
      </c>
      <c r="D213" s="1055"/>
      <c r="E213" s="1069">
        <v>0</v>
      </c>
      <c r="F213" s="1069"/>
    </row>
    <row r="214" spans="1:6" x14ac:dyDescent="0.2">
      <c r="A214" s="337">
        <v>27208</v>
      </c>
      <c r="B214" s="373" t="s">
        <v>1169</v>
      </c>
      <c r="C214" s="1101">
        <f>+'[15]Input Sheet'!R496</f>
        <v>0</v>
      </c>
      <c r="D214" s="1055"/>
      <c r="E214" s="1069">
        <v>0</v>
      </c>
      <c r="F214" s="1069"/>
    </row>
    <row r="215" spans="1:6" x14ac:dyDescent="0.2">
      <c r="A215" s="337">
        <v>27209</v>
      </c>
      <c r="B215" s="373" t="s">
        <v>1170</v>
      </c>
      <c r="C215" s="1101">
        <f>+'[15]Input Sheet'!R497</f>
        <v>0</v>
      </c>
      <c r="D215" s="1055"/>
      <c r="E215" s="1069">
        <v>0</v>
      </c>
      <c r="F215" s="1069"/>
    </row>
    <row r="216" spans="1:6" x14ac:dyDescent="0.2">
      <c r="A216" s="337">
        <v>27210</v>
      </c>
      <c r="B216" s="373" t="s">
        <v>1171</v>
      </c>
      <c r="C216" s="1101">
        <f>+'[15]Input Sheet'!R498</f>
        <v>0</v>
      </c>
      <c r="D216" s="1055"/>
      <c r="E216" s="1069">
        <v>0</v>
      </c>
      <c r="F216" s="1069"/>
    </row>
    <row r="217" spans="1:6" x14ac:dyDescent="0.2">
      <c r="A217" s="337">
        <v>27215</v>
      </c>
      <c r="B217" s="373" t="s">
        <v>1172</v>
      </c>
      <c r="C217" s="1101">
        <f>+'[15]Input Sheet'!R499</f>
        <v>0</v>
      </c>
      <c r="D217" s="1055"/>
      <c r="E217" s="1069">
        <v>0</v>
      </c>
      <c r="F217" s="1069"/>
    </row>
    <row r="218" spans="1:6" x14ac:dyDescent="0.2">
      <c r="A218" s="337"/>
      <c r="B218" s="373"/>
      <c r="C218" s="1101"/>
      <c r="D218" s="1104"/>
      <c r="E218" s="1069"/>
      <c r="F218" s="1069"/>
    </row>
    <row r="219" spans="1:6" x14ac:dyDescent="0.2">
      <c r="A219" s="337"/>
      <c r="B219" s="374" t="s">
        <v>92</v>
      </c>
      <c r="C219" s="1108">
        <f>SUM(C203:C218)</f>
        <v>0</v>
      </c>
      <c r="D219" s="1060">
        <f>SUM(C203:C218)</f>
        <v>0</v>
      </c>
      <c r="E219" s="1108">
        <f>SUM(E203:E218)</f>
        <v>0.22177115499999997</v>
      </c>
      <c r="F219" s="1070">
        <f>SUM(E203:E218)</f>
        <v>0.22177115499999997</v>
      </c>
    </row>
    <row r="220" spans="1:6" x14ac:dyDescent="0.2">
      <c r="A220" s="337"/>
      <c r="B220" s="324"/>
      <c r="C220" s="1055"/>
      <c r="D220" s="1055"/>
      <c r="E220" s="1069"/>
      <c r="F220" s="1069"/>
    </row>
    <row r="221" spans="1:6" x14ac:dyDescent="0.2">
      <c r="A221" s="337">
        <v>28821</v>
      </c>
      <c r="B221" s="324" t="s">
        <v>856</v>
      </c>
      <c r="C221" s="1055"/>
      <c r="D221" s="1055">
        <f>+'[15]Input Sheet'!R522</f>
        <v>1.4262655</v>
      </c>
      <c r="E221" s="1069"/>
      <c r="F221" s="1069">
        <v>1.6583991</v>
      </c>
    </row>
    <row r="222" spans="1:6" x14ac:dyDescent="0.2">
      <c r="A222" s="337">
        <v>99102</v>
      </c>
      <c r="B222" s="363" t="s">
        <v>857</v>
      </c>
      <c r="C222" s="1093"/>
      <c r="D222" s="1055">
        <f>'[15]Input Sheet'!R1349</f>
        <v>323.902233663</v>
      </c>
      <c r="E222" s="1069"/>
      <c r="F222" s="1069">
        <v>163.301880963</v>
      </c>
    </row>
    <row r="223" spans="1:6" x14ac:dyDescent="0.2">
      <c r="A223" s="337">
        <v>28802</v>
      </c>
      <c r="B223" s="379" t="s">
        <v>1173</v>
      </c>
      <c r="C223" s="1055"/>
      <c r="D223" s="1055">
        <f>'[15]Input Sheet'!R517</f>
        <v>0</v>
      </c>
      <c r="E223" s="1069"/>
      <c r="F223" s="1069">
        <v>0</v>
      </c>
    </row>
    <row r="224" spans="1:6" x14ac:dyDescent="0.2">
      <c r="A224" s="337"/>
      <c r="B224" s="379"/>
      <c r="C224" s="1055"/>
      <c r="D224" s="1055"/>
      <c r="E224" s="1069"/>
      <c r="F224" s="1069"/>
    </row>
    <row r="225" spans="1:13" x14ac:dyDescent="0.2">
      <c r="A225" s="340" t="s">
        <v>1174</v>
      </c>
      <c r="B225" s="341" t="s">
        <v>859</v>
      </c>
      <c r="C225" s="1060"/>
      <c r="D225" s="1060"/>
      <c r="E225" s="1077"/>
      <c r="F225" s="1077"/>
      <c r="G225" s="346"/>
      <c r="H225" s="346"/>
      <c r="I225" s="346"/>
      <c r="J225" s="346"/>
      <c r="K225" s="346"/>
      <c r="L225" s="346"/>
      <c r="M225" s="346"/>
    </row>
    <row r="226" spans="1:13" x14ac:dyDescent="0.2">
      <c r="A226" s="337">
        <v>21999</v>
      </c>
      <c r="B226" s="373" t="s">
        <v>1175</v>
      </c>
      <c r="C226" s="1101"/>
      <c r="D226" s="1109">
        <f>'[15]Input Sheet'!Q117</f>
        <v>0</v>
      </c>
      <c r="E226" s="1069"/>
      <c r="F226" s="1069">
        <v>0</v>
      </c>
    </row>
    <row r="227" spans="1:13" x14ac:dyDescent="0.2">
      <c r="A227" s="337"/>
      <c r="B227" s="374"/>
      <c r="C227" s="1102"/>
      <c r="D227" s="1055"/>
      <c r="E227" s="1069"/>
      <c r="F227" s="1069"/>
    </row>
    <row r="228" spans="1:13" x14ac:dyDescent="0.2">
      <c r="A228" s="337"/>
      <c r="B228" s="381" t="s">
        <v>860</v>
      </c>
      <c r="C228" s="1110"/>
      <c r="D228" s="1060"/>
      <c r="E228" s="1069"/>
      <c r="F228" s="1069"/>
    </row>
    <row r="229" spans="1:13" x14ac:dyDescent="0.2">
      <c r="A229" s="337">
        <v>21101</v>
      </c>
      <c r="B229" s="373" t="s">
        <v>1176</v>
      </c>
      <c r="C229" s="1101">
        <f>+'[15]Input Sheet'!Q93</f>
        <v>825.97046793900006</v>
      </c>
      <c r="D229" s="1055"/>
      <c r="E229" s="1069">
        <v>407.01712806199998</v>
      </c>
      <c r="F229" s="1069"/>
    </row>
    <row r="230" spans="1:13" x14ac:dyDescent="0.2">
      <c r="A230" s="337">
        <v>21120</v>
      </c>
      <c r="B230" s="373" t="s">
        <v>1177</v>
      </c>
      <c r="C230" s="1101">
        <f>+'[15]Input Sheet'!Q99</f>
        <v>0</v>
      </c>
      <c r="D230" s="1055"/>
      <c r="E230" s="1069">
        <v>0</v>
      </c>
      <c r="F230" s="1069"/>
    </row>
    <row r="231" spans="1:13" x14ac:dyDescent="0.2">
      <c r="A231" s="337">
        <v>21122</v>
      </c>
      <c r="B231" s="373" t="s">
        <v>1178</v>
      </c>
      <c r="C231" s="1101">
        <f>+'[15]Input Sheet'!Q101</f>
        <v>123.15643997799999</v>
      </c>
      <c r="D231" s="1055"/>
      <c r="E231" s="1069">
        <v>37.817838677999994</v>
      </c>
      <c r="F231" s="1069"/>
    </row>
    <row r="232" spans="1:13" x14ac:dyDescent="0.2">
      <c r="A232" s="337">
        <v>21123</v>
      </c>
      <c r="B232" s="373" t="s">
        <v>1179</v>
      </c>
      <c r="C232" s="1101">
        <f>+'[15]Input Sheet'!Q102</f>
        <v>198.14129924000002</v>
      </c>
      <c r="D232" s="1055"/>
      <c r="E232" s="1069">
        <v>0</v>
      </c>
      <c r="F232" s="1069"/>
    </row>
    <row r="233" spans="1:13" x14ac:dyDescent="0.2">
      <c r="A233" s="337">
        <v>21124</v>
      </c>
      <c r="B233" s="373" t="s">
        <v>1180</v>
      </c>
      <c r="C233" s="1101">
        <f>+'[15]Input Sheet'!Q103</f>
        <v>7.1588064519999994</v>
      </c>
      <c r="D233" s="1055"/>
      <c r="E233" s="1069">
        <v>2.8002832180000001</v>
      </c>
      <c r="F233" s="1069"/>
    </row>
    <row r="234" spans="1:13" x14ac:dyDescent="0.2">
      <c r="A234" s="337">
        <v>21126</v>
      </c>
      <c r="B234" s="373" t="s">
        <v>1181</v>
      </c>
      <c r="C234" s="1101">
        <f>+'[15]Input Sheet'!Q105</f>
        <v>0</v>
      </c>
      <c r="D234" s="1055"/>
      <c r="E234" s="1069">
        <v>0</v>
      </c>
      <c r="F234" s="1069"/>
    </row>
    <row r="235" spans="1:13" x14ac:dyDescent="0.2">
      <c r="A235" s="337">
        <v>21127</v>
      </c>
      <c r="B235" s="373" t="s">
        <v>1182</v>
      </c>
      <c r="C235" s="1101">
        <f>+'[15]Input Sheet'!Q106</f>
        <v>0</v>
      </c>
      <c r="D235" s="1055"/>
      <c r="E235" s="1069">
        <v>0</v>
      </c>
      <c r="F235" s="1069"/>
    </row>
    <row r="236" spans="1:13" x14ac:dyDescent="0.2">
      <c r="A236" s="337">
        <v>21128</v>
      </c>
      <c r="B236" s="373" t="s">
        <v>1183</v>
      </c>
      <c r="C236" s="1101">
        <f>+'[15]Input Sheet'!Q107</f>
        <v>0</v>
      </c>
      <c r="D236" s="1055"/>
      <c r="E236" s="1069">
        <v>0</v>
      </c>
      <c r="F236" s="1069"/>
    </row>
    <row r="237" spans="1:13" x14ac:dyDescent="0.2">
      <c r="A237" s="337">
        <v>21135</v>
      </c>
      <c r="B237" s="373" t="s">
        <v>1184</v>
      </c>
      <c r="C237" s="1101">
        <f>+'[15]Input Sheet'!Q114</f>
        <v>0</v>
      </c>
      <c r="D237" s="1055"/>
      <c r="E237" s="1069">
        <v>0</v>
      </c>
      <c r="F237" s="1069"/>
    </row>
    <row r="238" spans="1:13" ht="25.5" x14ac:dyDescent="0.2">
      <c r="A238" s="337">
        <v>21200</v>
      </c>
      <c r="B238" s="375" t="s">
        <v>1185</v>
      </c>
      <c r="C238" s="1101">
        <f>+'[15]Input Sheet'!Q116</f>
        <v>39.259050551000001</v>
      </c>
      <c r="D238" s="1055"/>
      <c r="E238" s="1069">
        <v>22.402254156000001</v>
      </c>
      <c r="F238" s="1069"/>
    </row>
    <row r="239" spans="1:13" x14ac:dyDescent="0.2">
      <c r="A239" s="337"/>
      <c r="B239" s="374" t="s">
        <v>92</v>
      </c>
      <c r="C239" s="1108">
        <f>SUM(C229:C238)</f>
        <v>1193.6860641599999</v>
      </c>
      <c r="D239" s="1079">
        <f>SUM(C229:C238)</f>
        <v>1193.6860641599999</v>
      </c>
      <c r="E239" s="1108">
        <f>SUM(E229:E238)</f>
        <v>470.037504114</v>
      </c>
      <c r="F239" s="1080">
        <f>SUM(E229:E238)</f>
        <v>470.037504114</v>
      </c>
    </row>
    <row r="240" spans="1:13" x14ac:dyDescent="0.2">
      <c r="A240" s="337"/>
      <c r="B240" s="382" t="s">
        <v>861</v>
      </c>
      <c r="C240" s="1102"/>
      <c r="D240" s="1060"/>
      <c r="E240" s="1069"/>
      <c r="F240" s="1069"/>
    </row>
    <row r="241" spans="1:6" x14ac:dyDescent="0.2">
      <c r="A241" s="337">
        <v>21103</v>
      </c>
      <c r="B241" s="373" t="s">
        <v>1186</v>
      </c>
      <c r="C241" s="1101">
        <f>+'[15]Input Sheet'!Q94</f>
        <v>133.783303477</v>
      </c>
      <c r="D241" s="1055"/>
      <c r="E241" s="1069">
        <v>104.48101385299999</v>
      </c>
      <c r="F241" s="1069"/>
    </row>
    <row r="242" spans="1:6" x14ac:dyDescent="0.2">
      <c r="A242" s="337">
        <v>21104</v>
      </c>
      <c r="B242" s="373" t="s">
        <v>1187</v>
      </c>
      <c r="C242" s="1101">
        <f>+'[15]Input Sheet'!Q95</f>
        <v>1.507216828</v>
      </c>
      <c r="D242" s="1055"/>
      <c r="E242" s="1069">
        <v>1.301501639</v>
      </c>
      <c r="F242" s="1069"/>
    </row>
    <row r="243" spans="1:6" x14ac:dyDescent="0.2">
      <c r="A243" s="337">
        <v>21105</v>
      </c>
      <c r="B243" s="373" t="s">
        <v>1188</v>
      </c>
      <c r="C243" s="1101">
        <f>+'[15]Input Sheet'!Q96</f>
        <v>182.00282437199999</v>
      </c>
      <c r="D243" s="1055"/>
      <c r="E243" s="1069">
        <v>175.44501438399999</v>
      </c>
      <c r="F243" s="1069"/>
    </row>
    <row r="244" spans="1:6" x14ac:dyDescent="0.2">
      <c r="A244" s="337">
        <v>21106</v>
      </c>
      <c r="B244" s="373" t="s">
        <v>1189</v>
      </c>
      <c r="C244" s="1101">
        <f>+'[15]Input Sheet'!Q97</f>
        <v>0.70923444299999994</v>
      </c>
      <c r="D244" s="1104"/>
      <c r="E244" s="1069">
        <v>0.73924388099999994</v>
      </c>
      <c r="F244" s="1069"/>
    </row>
    <row r="245" spans="1:6" x14ac:dyDescent="0.2">
      <c r="A245" s="337"/>
      <c r="B245" s="374" t="s">
        <v>92</v>
      </c>
      <c r="C245" s="1108">
        <f>SUM(C241:C244)</f>
        <v>318.00257912000001</v>
      </c>
      <c r="D245" s="1060">
        <f>SUM(C241:C244)</f>
        <v>318.00257912000001</v>
      </c>
      <c r="E245" s="1108">
        <f>SUM(E241:E244)</f>
        <v>281.96677375699994</v>
      </c>
      <c r="F245" s="1070">
        <f>SUM(E241:E244)</f>
        <v>281.96677375699994</v>
      </c>
    </row>
    <row r="246" spans="1:6" x14ac:dyDescent="0.2">
      <c r="A246" s="337">
        <v>21108</v>
      </c>
      <c r="B246" s="373" t="s">
        <v>1190</v>
      </c>
      <c r="C246" s="1101"/>
      <c r="D246" s="1055">
        <f>'[15]Input Sheet'!Q98</f>
        <v>0</v>
      </c>
      <c r="E246" s="1069"/>
      <c r="F246" s="1069"/>
    </row>
    <row r="247" spans="1:6" x14ac:dyDescent="0.2">
      <c r="A247" s="337"/>
      <c r="B247" s="374" t="s">
        <v>1191</v>
      </c>
      <c r="C247" s="1102"/>
      <c r="D247" s="1060"/>
      <c r="E247" s="1069"/>
      <c r="F247" s="1069"/>
    </row>
    <row r="248" spans="1:6" x14ac:dyDescent="0.2">
      <c r="A248" s="337">
        <v>21129</v>
      </c>
      <c r="B248" s="373" t="s">
        <v>1192</v>
      </c>
      <c r="C248" s="1101">
        <f>+'[15]Input Sheet'!Q108</f>
        <v>0</v>
      </c>
      <c r="D248" s="1055"/>
      <c r="E248" s="1069">
        <v>0</v>
      </c>
      <c r="F248" s="1069"/>
    </row>
    <row r="249" spans="1:6" x14ac:dyDescent="0.2">
      <c r="A249" s="337">
        <v>21131</v>
      </c>
      <c r="B249" s="373" t="s">
        <v>1193</v>
      </c>
      <c r="C249" s="1101">
        <f>+'[15]Input Sheet'!Q110</f>
        <v>0</v>
      </c>
      <c r="D249" s="1055"/>
      <c r="E249" s="1069">
        <v>0</v>
      </c>
      <c r="F249" s="1069"/>
    </row>
    <row r="250" spans="1:6" x14ac:dyDescent="0.2">
      <c r="A250" s="337">
        <v>21132</v>
      </c>
      <c r="B250" s="373" t="s">
        <v>1194</v>
      </c>
      <c r="C250" s="1101">
        <f>+'[15]Input Sheet'!Q111</f>
        <v>0</v>
      </c>
      <c r="D250" s="1055"/>
      <c r="E250" s="1069">
        <v>0</v>
      </c>
      <c r="F250" s="1069"/>
    </row>
    <row r="251" spans="1:6" ht="25.5" x14ac:dyDescent="0.2">
      <c r="A251" s="337">
        <v>21133</v>
      </c>
      <c r="B251" s="375" t="s">
        <v>1195</v>
      </c>
      <c r="C251" s="1082">
        <f>+'[15]Input Sheet'!Q112</f>
        <v>0</v>
      </c>
      <c r="D251" s="1055"/>
      <c r="E251" s="1069">
        <v>0</v>
      </c>
      <c r="F251" s="1069"/>
    </row>
    <row r="252" spans="1:6" ht="25.5" x14ac:dyDescent="0.2">
      <c r="A252" s="337">
        <v>21134</v>
      </c>
      <c r="B252" s="375" t="s">
        <v>1196</v>
      </c>
      <c r="C252" s="1082">
        <f>+'[15]Input Sheet'!Q113</f>
        <v>0</v>
      </c>
      <c r="D252" s="1104"/>
      <c r="E252" s="1069">
        <v>0</v>
      </c>
      <c r="F252" s="1069"/>
    </row>
    <row r="253" spans="1:6" x14ac:dyDescent="0.2">
      <c r="A253" s="337"/>
      <c r="B253" s="374" t="s">
        <v>92</v>
      </c>
      <c r="C253" s="1108">
        <f>SUM(C248:C252)</f>
        <v>0</v>
      </c>
      <c r="D253" s="1055">
        <f>SUM(C248:C252)</f>
        <v>0</v>
      </c>
      <c r="E253" s="1108">
        <f>SUM(E248:E252)</f>
        <v>0</v>
      </c>
      <c r="F253" s="1103">
        <f>SUM(E248:E252)</f>
        <v>0</v>
      </c>
    </row>
    <row r="254" spans="1:6" x14ac:dyDescent="0.2">
      <c r="A254" s="337"/>
      <c r="B254" s="374"/>
      <c r="C254" s="1102"/>
      <c r="D254" s="1055"/>
      <c r="E254" s="1069"/>
      <c r="F254" s="1069"/>
    </row>
    <row r="255" spans="1:6" x14ac:dyDescent="0.2">
      <c r="A255" s="337">
        <v>21140</v>
      </c>
      <c r="B255" s="373" t="s">
        <v>1197</v>
      </c>
      <c r="C255" s="1101"/>
      <c r="D255" s="1055">
        <f>'[15]Input Sheet'!Q115</f>
        <v>0</v>
      </c>
      <c r="E255" s="1069"/>
      <c r="F255" s="1069">
        <f>E255</f>
        <v>0</v>
      </c>
    </row>
    <row r="256" spans="1:6" x14ac:dyDescent="0.2">
      <c r="A256" s="337"/>
      <c r="B256" s="373"/>
      <c r="C256" s="1101"/>
      <c r="D256" s="1055"/>
      <c r="E256" s="1069"/>
      <c r="F256" s="1069"/>
    </row>
    <row r="257" spans="1:6" x14ac:dyDescent="0.2">
      <c r="A257" s="337">
        <v>21121</v>
      </c>
      <c r="B257" s="383" t="s">
        <v>1198</v>
      </c>
      <c r="C257" s="1111">
        <f>+'[15]Input Sheet'!Q100</f>
        <v>64.100697285999999</v>
      </c>
      <c r="D257" s="1055"/>
      <c r="E257" s="1069">
        <v>71.890221659000005</v>
      </c>
      <c r="F257" s="1069"/>
    </row>
    <row r="258" spans="1:6" x14ac:dyDescent="0.2">
      <c r="A258" s="384">
        <v>21125</v>
      </c>
      <c r="B258" s="383" t="s">
        <v>1199</v>
      </c>
      <c r="C258" s="1111">
        <f>+'[15]Input Sheet'!Q104</f>
        <v>0.459820913</v>
      </c>
      <c r="D258" s="1104"/>
      <c r="E258" s="1103"/>
      <c r="F258" s="1069"/>
    </row>
    <row r="259" spans="1:6" x14ac:dyDescent="0.2">
      <c r="A259" s="384"/>
      <c r="B259" s="374" t="s">
        <v>92</v>
      </c>
      <c r="C259" s="1108">
        <f>SUM(C257:C258)</f>
        <v>64.560518199000001</v>
      </c>
      <c r="D259" s="1055">
        <f>SUM(C257:C258)</f>
        <v>64.560518199000001</v>
      </c>
      <c r="E259" s="1108">
        <f>SUM(E257:E258)</f>
        <v>71.890221659000005</v>
      </c>
      <c r="F259" s="1103">
        <f>SUM(E257:E258)</f>
        <v>71.890221659000005</v>
      </c>
    </row>
    <row r="260" spans="1:6" x14ac:dyDescent="0.2">
      <c r="A260" s="337"/>
      <c r="B260" s="358" t="s">
        <v>863</v>
      </c>
      <c r="C260" s="1083"/>
      <c r="D260" s="1055"/>
      <c r="E260" s="1069"/>
      <c r="F260" s="1069"/>
    </row>
    <row r="261" spans="1:6" x14ac:dyDescent="0.2">
      <c r="A261" s="337">
        <v>21130</v>
      </c>
      <c r="B261" s="373" t="s">
        <v>1200</v>
      </c>
      <c r="C261" s="1101">
        <f>+'[15]Input Sheet'!Q109</f>
        <v>57.851964202999994</v>
      </c>
      <c r="D261" s="1055"/>
      <c r="E261" s="1069">
        <v>31.810342162000001</v>
      </c>
      <c r="F261" s="1069"/>
    </row>
    <row r="262" spans="1:6" x14ac:dyDescent="0.2">
      <c r="A262" s="337">
        <v>22621</v>
      </c>
      <c r="B262" s="373" t="s">
        <v>1201</v>
      </c>
      <c r="C262" s="1101">
        <f>+'[15]Input Sheet'!Q118</f>
        <v>4.880875724</v>
      </c>
      <c r="D262" s="1055"/>
      <c r="E262" s="1069">
        <v>4.4875583649999999</v>
      </c>
      <c r="F262" s="1069"/>
    </row>
    <row r="263" spans="1:6" x14ac:dyDescent="0.2">
      <c r="A263" s="337">
        <v>22622</v>
      </c>
      <c r="B263" s="373" t="s">
        <v>1202</v>
      </c>
      <c r="C263" s="1101">
        <f>+'[15]Input Sheet'!Q119</f>
        <v>2.6551669999999999E-3</v>
      </c>
      <c r="D263" s="1055"/>
      <c r="E263" s="1069">
        <v>8.1566119999999988E-3</v>
      </c>
      <c r="F263" s="1069"/>
    </row>
    <row r="264" spans="1:6" x14ac:dyDescent="0.2">
      <c r="A264" s="337">
        <v>22625</v>
      </c>
      <c r="B264" s="375" t="s">
        <v>1203</v>
      </c>
      <c r="C264" s="1101">
        <f>+'[15]Input Sheet'!Q120</f>
        <v>4.5246657479999994</v>
      </c>
      <c r="D264" s="1055"/>
      <c r="E264" s="1069">
        <v>4.0429959679999996</v>
      </c>
      <c r="F264" s="1069"/>
    </row>
    <row r="265" spans="1:6" x14ac:dyDescent="0.2">
      <c r="A265" s="337">
        <v>22628</v>
      </c>
      <c r="B265" s="373" t="s">
        <v>1204</v>
      </c>
      <c r="C265" s="1101">
        <f>+'[15]Input Sheet'!Q121</f>
        <v>859.48286522199999</v>
      </c>
      <c r="D265" s="1055"/>
      <c r="E265" s="1069">
        <v>778.24221497899998</v>
      </c>
      <c r="F265" s="1069"/>
    </row>
    <row r="266" spans="1:6" x14ac:dyDescent="0.2">
      <c r="A266" s="337">
        <v>22631</v>
      </c>
      <c r="B266" s="373" t="s">
        <v>1205</v>
      </c>
      <c r="C266" s="1101">
        <f>+'[15]Input Sheet'!Q122</f>
        <v>-3.0975000000000002E-4</v>
      </c>
      <c r="D266" s="1055"/>
      <c r="E266" s="1069">
        <v>0</v>
      </c>
      <c r="F266" s="1069"/>
    </row>
    <row r="267" spans="1:6" x14ac:dyDescent="0.2">
      <c r="A267" s="337">
        <v>22632</v>
      </c>
      <c r="B267" s="373" t="s">
        <v>1206</v>
      </c>
      <c r="C267" s="1101">
        <f>+'[15]Input Sheet'!Q123</f>
        <v>5.6585000000000003E-3</v>
      </c>
      <c r="D267" s="1055"/>
      <c r="E267" s="1069">
        <v>0</v>
      </c>
      <c r="F267" s="1069"/>
    </row>
    <row r="268" spans="1:6" x14ac:dyDescent="0.2">
      <c r="A268" s="337">
        <v>22639</v>
      </c>
      <c r="B268" s="373" t="s">
        <v>1207</v>
      </c>
      <c r="C268" s="1101">
        <f>+'[15]Input Sheet'!Q124</f>
        <v>34.261869238999999</v>
      </c>
      <c r="D268" s="1055"/>
      <c r="E268" s="1069">
        <v>35.357035410999998</v>
      </c>
      <c r="F268" s="1069"/>
    </row>
    <row r="269" spans="1:6" x14ac:dyDescent="0.2">
      <c r="A269" s="337">
        <v>22640</v>
      </c>
      <c r="B269" s="373" t="s">
        <v>1208</v>
      </c>
      <c r="C269" s="1101">
        <f>+'[15]Input Sheet'!Q125</f>
        <v>1.407910317</v>
      </c>
      <c r="D269" s="1055"/>
      <c r="E269" s="1069">
        <v>1.5217024269999999</v>
      </c>
      <c r="F269" s="1069"/>
    </row>
    <row r="270" spans="1:6" x14ac:dyDescent="0.2">
      <c r="A270" s="337">
        <v>22651</v>
      </c>
      <c r="B270" s="373" t="s">
        <v>1209</v>
      </c>
      <c r="C270" s="1101">
        <f>+'[15]Input Sheet'!Q126</f>
        <v>2.0000000000000001E-9</v>
      </c>
      <c r="D270" s="1055"/>
      <c r="E270" s="1069">
        <v>0</v>
      </c>
      <c r="F270" s="1069"/>
    </row>
    <row r="271" spans="1:6" x14ac:dyDescent="0.2">
      <c r="A271" s="337">
        <v>22652</v>
      </c>
      <c r="B271" s="373" t="s">
        <v>1210</v>
      </c>
      <c r="C271" s="1101">
        <f>+'[15]Input Sheet'!Q127</f>
        <v>0</v>
      </c>
      <c r="D271" s="1055"/>
      <c r="E271" s="1069">
        <v>0</v>
      </c>
      <c r="F271" s="1069"/>
    </row>
    <row r="272" spans="1:6" x14ac:dyDescent="0.2">
      <c r="A272" s="337">
        <v>22653</v>
      </c>
      <c r="B272" s="373" t="s">
        <v>1211</v>
      </c>
      <c r="C272" s="1101">
        <f>+'[15]Input Sheet'!Q128</f>
        <v>0</v>
      </c>
      <c r="D272" s="1055"/>
      <c r="E272" s="1069">
        <v>0</v>
      </c>
      <c r="F272" s="1069"/>
    </row>
    <row r="273" spans="1:13" x14ac:dyDescent="0.2">
      <c r="A273" s="337">
        <v>22654</v>
      </c>
      <c r="B273" s="373" t="s">
        <v>1212</v>
      </c>
      <c r="C273" s="1101">
        <f>+'[15]Input Sheet'!Q129</f>
        <v>0</v>
      </c>
      <c r="D273" s="1055"/>
      <c r="E273" s="1069">
        <v>0</v>
      </c>
      <c r="F273" s="1069"/>
    </row>
    <row r="274" spans="1:13" x14ac:dyDescent="0.2">
      <c r="A274" s="337">
        <v>22655</v>
      </c>
      <c r="B274" s="373" t="s">
        <v>1213</v>
      </c>
      <c r="C274" s="1101">
        <f>+'[15]Input Sheet'!Q130</f>
        <v>0</v>
      </c>
      <c r="D274" s="1055"/>
      <c r="E274" s="1069">
        <v>0</v>
      </c>
      <c r="F274" s="1069"/>
    </row>
    <row r="275" spans="1:13" ht="25.5" x14ac:dyDescent="0.2">
      <c r="A275" s="337">
        <v>22656</v>
      </c>
      <c r="B275" s="375" t="s">
        <v>1214</v>
      </c>
      <c r="C275" s="1101">
        <f>+'[15]Input Sheet'!Q131</f>
        <v>0</v>
      </c>
      <c r="D275" s="1055"/>
      <c r="E275" s="1069">
        <v>0</v>
      </c>
      <c r="F275" s="1069"/>
    </row>
    <row r="276" spans="1:13" x14ac:dyDescent="0.2">
      <c r="A276" s="337">
        <v>22830</v>
      </c>
      <c r="B276" s="373" t="s">
        <v>1215</v>
      </c>
      <c r="C276" s="1101">
        <f>+'[15]Input Sheet'!Q133</f>
        <v>1.460201758</v>
      </c>
      <c r="D276" s="1055"/>
      <c r="E276" s="1069">
        <v>1.170769889</v>
      </c>
      <c r="F276" s="1069"/>
    </row>
    <row r="277" spans="1:13" x14ac:dyDescent="0.2">
      <c r="A277" s="337">
        <v>22831</v>
      </c>
      <c r="B277" s="375" t="s">
        <v>1216</v>
      </c>
      <c r="C277" s="1101">
        <f>+'[15]Input Sheet'!Q134</f>
        <v>0</v>
      </c>
      <c r="D277" s="1055"/>
      <c r="E277" s="1069">
        <v>0</v>
      </c>
      <c r="F277" s="1069"/>
    </row>
    <row r="278" spans="1:13" x14ac:dyDescent="0.2">
      <c r="A278" s="337">
        <v>22832</v>
      </c>
      <c r="B278" s="373" t="s">
        <v>1217</v>
      </c>
      <c r="C278" s="1101">
        <f>+'[15]Input Sheet'!Q135</f>
        <v>0</v>
      </c>
      <c r="D278" s="1055"/>
      <c r="E278" s="1069">
        <v>0</v>
      </c>
      <c r="F278" s="1069"/>
    </row>
    <row r="279" spans="1:13" x14ac:dyDescent="0.2">
      <c r="A279" s="337"/>
      <c r="B279" s="374" t="s">
        <v>92</v>
      </c>
      <c r="C279" s="1108">
        <f>SUM(C261:C278)</f>
        <v>963.87835612999993</v>
      </c>
      <c r="D279" s="1079">
        <f>SUM(C261:C278)</f>
        <v>963.87835612999993</v>
      </c>
      <c r="E279" s="1108">
        <f>SUM(E261:E278)</f>
        <v>856.640775813</v>
      </c>
      <c r="F279" s="1080">
        <f>SUM(E261:E278)</f>
        <v>856.640775813</v>
      </c>
    </row>
    <row r="280" spans="1:13" ht="25.5" x14ac:dyDescent="0.2">
      <c r="A280" s="337">
        <v>46963</v>
      </c>
      <c r="B280" s="358" t="s">
        <v>865</v>
      </c>
      <c r="C280" s="1083"/>
      <c r="D280" s="1055">
        <f>-('[15]Input Sheet'!Q714)</f>
        <v>-385.94918471199998</v>
      </c>
      <c r="E280" s="1069"/>
      <c r="F280" s="1069">
        <v>-402.23597693099998</v>
      </c>
    </row>
    <row r="281" spans="1:13" ht="25.5" x14ac:dyDescent="0.2">
      <c r="A281" s="384">
        <v>46970</v>
      </c>
      <c r="B281" s="358" t="s">
        <v>1218</v>
      </c>
      <c r="C281" s="1083"/>
      <c r="D281" s="1104">
        <f>-('[15]Input Sheet'!Q715)</f>
        <v>-39.395743226999997</v>
      </c>
      <c r="E281" s="1069"/>
      <c r="F281" s="1069">
        <v>-22.538118780000001</v>
      </c>
    </row>
    <row r="282" spans="1:13" x14ac:dyDescent="0.2">
      <c r="A282" s="337"/>
      <c r="B282" s="374"/>
      <c r="C282" s="1102"/>
      <c r="D282" s="1060">
        <f>SUM(D279:D281)</f>
        <v>538.53342819099987</v>
      </c>
      <c r="E282" s="1069"/>
      <c r="F282" s="1070">
        <f>SUM(F279:F281)</f>
        <v>431.86668010200003</v>
      </c>
    </row>
    <row r="283" spans="1:13" ht="13.5" thickBot="1" x14ac:dyDescent="0.25">
      <c r="A283" s="337"/>
      <c r="B283" s="380" t="s">
        <v>1219</v>
      </c>
      <c r="C283" s="1112"/>
      <c r="D283" s="1064">
        <f>D226+D239+D245+D246+D253+D255+D259+D282</f>
        <v>2114.7825896699997</v>
      </c>
      <c r="E283" s="1069"/>
      <c r="F283" s="1081">
        <f>F226+F239+F245+F246+F253+F255+F259+F282</f>
        <v>1255.7611796319998</v>
      </c>
    </row>
    <row r="284" spans="1:13" ht="13.5" thickTop="1" x14ac:dyDescent="0.2">
      <c r="A284" s="337"/>
      <c r="B284" s="324"/>
      <c r="C284" s="1055"/>
      <c r="D284" s="1055"/>
      <c r="E284" s="1069"/>
      <c r="F284" s="1069"/>
    </row>
    <row r="285" spans="1:13" x14ac:dyDescent="0.2">
      <c r="A285" s="352"/>
      <c r="B285" s="386"/>
      <c r="C285" s="1104"/>
      <c r="D285" s="1104"/>
      <c r="E285" s="1069"/>
      <c r="F285" s="1069"/>
    </row>
    <row r="286" spans="1:13" x14ac:dyDescent="0.2">
      <c r="A286" s="369" t="s">
        <v>1220</v>
      </c>
      <c r="B286" s="370" t="s">
        <v>868</v>
      </c>
      <c r="C286" s="1079"/>
      <c r="D286" s="1076"/>
      <c r="E286" s="1069"/>
      <c r="F286" s="1069"/>
      <c r="K286" s="346"/>
      <c r="L286" s="346"/>
      <c r="M286" s="346"/>
    </row>
    <row r="287" spans="1:13" x14ac:dyDescent="0.2">
      <c r="A287" s="337"/>
      <c r="B287" s="363" t="s">
        <v>869</v>
      </c>
      <c r="C287" s="1093"/>
      <c r="D287" s="1055"/>
      <c r="E287" s="1069"/>
      <c r="F287" s="1069"/>
    </row>
    <row r="288" spans="1:13" ht="25.5" x14ac:dyDescent="0.2">
      <c r="A288" s="337">
        <v>99201</v>
      </c>
      <c r="B288" s="375" t="s">
        <v>1221</v>
      </c>
      <c r="C288" s="1082">
        <f>+'[15]Input Sheet'!Q1365</f>
        <v>166.13424910099999</v>
      </c>
      <c r="D288" s="1055"/>
      <c r="E288" s="1069">
        <v>149.07848850400001</v>
      </c>
      <c r="F288" s="1069"/>
    </row>
    <row r="289" spans="1:13" ht="25.5" x14ac:dyDescent="0.2">
      <c r="A289" s="337">
        <v>99202</v>
      </c>
      <c r="B289" s="375" t="s">
        <v>1222</v>
      </c>
      <c r="C289" s="1082">
        <f>+'[15]Input Sheet'!Q1366</f>
        <v>0</v>
      </c>
      <c r="D289" s="1055"/>
      <c r="E289" s="1069">
        <v>0</v>
      </c>
      <c r="F289" s="1069"/>
    </row>
    <row r="290" spans="1:13" ht="25.5" x14ac:dyDescent="0.2">
      <c r="A290" s="337">
        <v>99203</v>
      </c>
      <c r="B290" s="375" t="s">
        <v>1223</v>
      </c>
      <c r="C290" s="1082">
        <f>+'[15]Input Sheet'!Q1367</f>
        <v>0</v>
      </c>
      <c r="D290" s="1055"/>
      <c r="E290" s="1069">
        <v>0</v>
      </c>
      <c r="F290" s="1069"/>
    </row>
    <row r="291" spans="1:13" ht="25.5" x14ac:dyDescent="0.2">
      <c r="A291" s="337">
        <v>99204</v>
      </c>
      <c r="B291" s="375" t="s">
        <v>1224</v>
      </c>
      <c r="C291" s="1082">
        <f>+'[15]Input Sheet'!Q1368</f>
        <v>0</v>
      </c>
      <c r="D291" s="1055"/>
      <c r="E291" s="1069">
        <v>0</v>
      </c>
      <c r="F291" s="1069"/>
    </row>
    <row r="292" spans="1:13" ht="25.5" x14ac:dyDescent="0.2">
      <c r="A292" s="337">
        <v>99205</v>
      </c>
      <c r="B292" s="375" t="s">
        <v>1225</v>
      </c>
      <c r="C292" s="1082">
        <f>++H1422</f>
        <v>25980.932014684</v>
      </c>
      <c r="D292" s="1055"/>
      <c r="E292" s="1069">
        <v>27259.106596379999</v>
      </c>
      <c r="F292" s="1069"/>
    </row>
    <row r="293" spans="1:13" x14ac:dyDescent="0.2">
      <c r="A293" s="337">
        <v>99208</v>
      </c>
      <c r="B293" s="363" t="s">
        <v>1226</v>
      </c>
      <c r="C293" s="1082">
        <f>+'[15]Input Sheet'!Q1372</f>
        <v>0.83611440000000004</v>
      </c>
      <c r="D293" s="1055"/>
      <c r="E293" s="1069"/>
      <c r="F293" s="1069"/>
    </row>
    <row r="294" spans="1:13" x14ac:dyDescent="0.2">
      <c r="A294" s="337">
        <v>99206</v>
      </c>
      <c r="B294" s="373" t="s">
        <v>1227</v>
      </c>
      <c r="C294" s="1101">
        <f>+'[15]Input Sheet'!Q1370</f>
        <v>38.543622323999998</v>
      </c>
      <c r="D294" s="1104"/>
      <c r="E294" s="1069">
        <v>7.3857034420000005</v>
      </c>
      <c r="F294" s="1069"/>
    </row>
    <row r="295" spans="1:13" x14ac:dyDescent="0.2">
      <c r="A295" s="337"/>
      <c r="B295" s="373"/>
      <c r="C295" s="1113">
        <f>SUM(C288:C294)</f>
        <v>26186.446000509</v>
      </c>
      <c r="D295" s="1055">
        <f>SUM(C288:C294)</f>
        <v>26186.446000509</v>
      </c>
      <c r="E295" s="1113">
        <f>SUM(E288:E294)</f>
        <v>27415.570788326</v>
      </c>
      <c r="F295" s="1103">
        <f>SUM(E288:E294)</f>
        <v>27415.570788326</v>
      </c>
    </row>
    <row r="296" spans="1:13" x14ac:dyDescent="0.2">
      <c r="A296" s="337">
        <v>27900</v>
      </c>
      <c r="B296" s="387" t="s">
        <v>870</v>
      </c>
      <c r="C296" s="1114"/>
      <c r="D296" s="1114">
        <f>+I1422</f>
        <v>-183.68105705100001</v>
      </c>
      <c r="E296" s="1114"/>
      <c r="F296" s="1114">
        <v>-183.68105705100001</v>
      </c>
    </row>
    <row r="297" spans="1:13" x14ac:dyDescent="0.2">
      <c r="A297" s="388">
        <v>99208</v>
      </c>
      <c r="B297" s="363" t="s">
        <v>1226</v>
      </c>
      <c r="C297" s="1114"/>
      <c r="D297" s="1115"/>
      <c r="E297" s="1069"/>
      <c r="F297" s="1069">
        <v>0</v>
      </c>
    </row>
    <row r="298" spans="1:13" x14ac:dyDescent="0.2">
      <c r="A298" s="388">
        <v>99209</v>
      </c>
      <c r="B298" s="363" t="s">
        <v>1228</v>
      </c>
      <c r="C298" s="1114"/>
      <c r="D298" s="1115">
        <f>+IF('[15]Input Sheet'!Q1373&gt;=0, '[15]Input Sheet'!Q1373,0)</f>
        <v>0</v>
      </c>
      <c r="E298" s="1069"/>
      <c r="F298" s="1069">
        <v>0</v>
      </c>
    </row>
    <row r="299" spans="1:13" ht="13.5" thickBot="1" x14ac:dyDescent="0.25">
      <c r="A299" s="337"/>
      <c r="B299" s="389"/>
      <c r="C299" s="1116"/>
      <c r="D299" s="1091">
        <f>+SUM(D295:D298)</f>
        <v>26002.764943458002</v>
      </c>
      <c r="E299" s="1069"/>
      <c r="F299" s="1092">
        <f>+SUM(F295:F298)</f>
        <v>27231.889731275001</v>
      </c>
    </row>
    <row r="300" spans="1:13" ht="13.5" thickTop="1" x14ac:dyDescent="0.2">
      <c r="A300" s="337"/>
      <c r="B300" s="324"/>
      <c r="C300" s="1055"/>
      <c r="D300" s="1055"/>
      <c r="E300" s="1069"/>
      <c r="F300" s="1069"/>
    </row>
    <row r="301" spans="1:13" x14ac:dyDescent="0.2">
      <c r="A301" s="340" t="s">
        <v>1229</v>
      </c>
      <c r="B301" s="341" t="s">
        <v>872</v>
      </c>
      <c r="C301" s="1060"/>
      <c r="D301" s="1060"/>
      <c r="E301" s="1077"/>
      <c r="F301" s="1077"/>
      <c r="G301" s="346"/>
      <c r="H301" s="346"/>
      <c r="I301" s="346"/>
      <c r="J301" s="346"/>
      <c r="K301" s="346"/>
      <c r="L301" s="346"/>
      <c r="M301" s="346"/>
    </row>
    <row r="302" spans="1:13" x14ac:dyDescent="0.2">
      <c r="A302" s="337"/>
      <c r="B302" s="363" t="s">
        <v>873</v>
      </c>
      <c r="C302" s="1093"/>
      <c r="D302" s="1055"/>
      <c r="E302" s="1069"/>
      <c r="F302" s="1069"/>
    </row>
    <row r="303" spans="1:13" x14ac:dyDescent="0.2">
      <c r="A303" s="337"/>
      <c r="B303" s="390" t="s">
        <v>874</v>
      </c>
      <c r="C303" s="1089"/>
      <c r="D303" s="1055">
        <f>IF(D1142&gt;0,D1142,0)</f>
        <v>263.66342570199998</v>
      </c>
      <c r="E303" s="1069"/>
      <c r="F303" s="1069">
        <v>11.769918049000003</v>
      </c>
    </row>
    <row r="304" spans="1:13" x14ac:dyDescent="0.2">
      <c r="A304" s="337"/>
      <c r="B304" s="363" t="s">
        <v>1230</v>
      </c>
      <c r="C304" s="1089"/>
      <c r="D304" s="1055"/>
      <c r="E304" s="1069"/>
      <c r="F304" s="1069"/>
    </row>
    <row r="305" spans="1:13" x14ac:dyDescent="0.2">
      <c r="A305" s="337">
        <v>25101</v>
      </c>
      <c r="B305" s="363" t="s">
        <v>1134</v>
      </c>
      <c r="C305" s="1089">
        <f>'[15]Input Sheet'!Q473</f>
        <v>0</v>
      </c>
      <c r="D305" s="1055"/>
      <c r="E305" s="1069"/>
      <c r="F305" s="1069"/>
    </row>
    <row r="306" spans="1:13" x14ac:dyDescent="0.2">
      <c r="A306" s="337">
        <v>25102</v>
      </c>
      <c r="B306" s="363" t="s">
        <v>1135</v>
      </c>
      <c r="C306" s="1117">
        <f>'[15]Input Sheet'!Q474</f>
        <v>0</v>
      </c>
      <c r="D306" s="1055"/>
      <c r="E306" s="1069"/>
      <c r="F306" s="1069"/>
    </row>
    <row r="307" spans="1:13" x14ac:dyDescent="0.2">
      <c r="A307" s="337">
        <v>25103</v>
      </c>
      <c r="B307" s="363" t="s">
        <v>1136</v>
      </c>
      <c r="C307" s="1118">
        <f>'[15]Input Sheet'!Q475</f>
        <v>0</v>
      </c>
      <c r="D307" s="1055">
        <f>SUM(C305:C307)</f>
        <v>0</v>
      </c>
      <c r="E307" s="1069"/>
      <c r="F307" s="1069">
        <f>SUM(E305:E307)</f>
        <v>0</v>
      </c>
    </row>
    <row r="308" spans="1:13" x14ac:dyDescent="0.2">
      <c r="A308" s="337"/>
      <c r="B308" s="363" t="s">
        <v>876</v>
      </c>
      <c r="C308" s="1093"/>
      <c r="D308" s="1104">
        <f>D843</f>
        <v>1.4654745E-2</v>
      </c>
      <c r="E308" s="1069"/>
      <c r="F308" s="1069">
        <v>1.7346445000000002E-2</v>
      </c>
    </row>
    <row r="309" spans="1:13" ht="13.5" thickBot="1" x14ac:dyDescent="0.25">
      <c r="A309" s="337"/>
      <c r="B309" s="364"/>
      <c r="C309" s="1090"/>
      <c r="D309" s="1091">
        <f>SUM(D303:D308)</f>
        <v>263.67808044699996</v>
      </c>
      <c r="E309" s="1069"/>
      <c r="F309" s="1092">
        <f>SUM(F303:F308)</f>
        <v>11.787264494000002</v>
      </c>
    </row>
    <row r="310" spans="1:13" ht="13.5" thickTop="1" x14ac:dyDescent="0.2">
      <c r="A310" s="340" t="s">
        <v>22</v>
      </c>
      <c r="B310" s="341" t="s">
        <v>877</v>
      </c>
      <c r="C310" s="1060"/>
      <c r="D310" s="1060"/>
      <c r="E310" s="1077"/>
      <c r="F310" s="1077"/>
      <c r="G310" s="346"/>
      <c r="H310" s="346"/>
      <c r="I310" s="346"/>
      <c r="J310" s="346"/>
      <c r="K310" s="346"/>
      <c r="L310" s="346"/>
      <c r="M310" s="346"/>
    </row>
    <row r="311" spans="1:13" x14ac:dyDescent="0.2">
      <c r="A311" s="337"/>
      <c r="B311" s="378" t="s">
        <v>1231</v>
      </c>
      <c r="C311" s="1093"/>
      <c r="D311" s="1055"/>
      <c r="E311" s="1069"/>
      <c r="F311" s="1069"/>
    </row>
    <row r="312" spans="1:13" x14ac:dyDescent="0.2">
      <c r="A312" s="337">
        <v>27101</v>
      </c>
      <c r="B312" s="373" t="s">
        <v>1158</v>
      </c>
      <c r="C312" s="1101">
        <f>+'[15]Input Sheet'!Q485</f>
        <v>-4.2678999999999998E-3</v>
      </c>
      <c r="D312" s="1055"/>
      <c r="E312" s="1069">
        <v>-2.6215200000000001E-2</v>
      </c>
      <c r="F312" s="1069"/>
    </row>
    <row r="313" spans="1:13" x14ac:dyDescent="0.2">
      <c r="A313" s="337">
        <v>27102</v>
      </c>
      <c r="B313" s="373" t="s">
        <v>1159</v>
      </c>
      <c r="C313" s="1101">
        <f>+'[15]Input Sheet'!Q486</f>
        <v>1.5937779999999999E-2</v>
      </c>
      <c r="D313" s="1055"/>
      <c r="E313" s="1069">
        <v>0.10848866000000001</v>
      </c>
      <c r="F313" s="1069"/>
    </row>
    <row r="314" spans="1:13" ht="13.5" customHeight="1" x14ac:dyDescent="0.2">
      <c r="A314" s="337">
        <v>27103</v>
      </c>
      <c r="B314" s="373" t="s">
        <v>1160</v>
      </c>
      <c r="C314" s="1101">
        <f>+'[15]Input Sheet'!Q487</f>
        <v>0</v>
      </c>
      <c r="D314" s="1055"/>
      <c r="E314" s="1069">
        <v>0</v>
      </c>
      <c r="F314" s="1069"/>
    </row>
    <row r="315" spans="1:13" x14ac:dyDescent="0.2">
      <c r="A315" s="337">
        <v>27104</v>
      </c>
      <c r="B315" s="373" t="s">
        <v>1161</v>
      </c>
      <c r="C315" s="1101">
        <f>+'[15]Input Sheet'!Q488</f>
        <v>0</v>
      </c>
      <c r="D315" s="1055"/>
      <c r="E315" s="1069">
        <v>0</v>
      </c>
      <c r="F315" s="1069"/>
    </row>
    <row r="316" spans="1:13" x14ac:dyDescent="0.2">
      <c r="A316" s="337">
        <v>27105</v>
      </c>
      <c r="B316" s="373" t="s">
        <v>1162</v>
      </c>
      <c r="C316" s="1101">
        <f>+'[15]Input Sheet'!Q489</f>
        <v>0.10752818700000001</v>
      </c>
      <c r="D316" s="1055"/>
      <c r="E316" s="1069">
        <v>0.13335866300000002</v>
      </c>
      <c r="F316" s="1069"/>
    </row>
    <row r="317" spans="1:13" x14ac:dyDescent="0.2">
      <c r="A317" s="337">
        <v>27201</v>
      </c>
      <c r="B317" s="373" t="s">
        <v>1163</v>
      </c>
      <c r="C317" s="1101">
        <f>+'[15]Input Sheet'!Q490</f>
        <v>0</v>
      </c>
      <c r="D317" s="1055"/>
      <c r="E317" s="1069">
        <v>0</v>
      </c>
      <c r="F317" s="1069"/>
    </row>
    <row r="318" spans="1:13" x14ac:dyDescent="0.2">
      <c r="A318" s="337">
        <v>27202</v>
      </c>
      <c r="B318" s="373" t="s">
        <v>1164</v>
      </c>
      <c r="C318" s="1101">
        <f>+'[15]Input Sheet'!Q491</f>
        <v>0</v>
      </c>
      <c r="D318" s="1055"/>
      <c r="E318" s="1069">
        <v>-3.5055407000000004E-2</v>
      </c>
      <c r="F318" s="1069"/>
    </row>
    <row r="319" spans="1:13" x14ac:dyDescent="0.2">
      <c r="A319" s="337">
        <v>27203</v>
      </c>
      <c r="B319" s="373" t="s">
        <v>1165</v>
      </c>
      <c r="C319" s="1101">
        <f>+'[15]Input Sheet'!Q492</f>
        <v>1.1761035</v>
      </c>
      <c r="D319" s="1055"/>
      <c r="E319" s="1069">
        <v>1.3289895</v>
      </c>
      <c r="F319" s="1069"/>
    </row>
    <row r="320" spans="1:13" x14ac:dyDescent="0.2">
      <c r="A320" s="337">
        <v>27204</v>
      </c>
      <c r="B320" s="373" t="s">
        <v>1166</v>
      </c>
      <c r="C320" s="373">
        <f>+'[15]Input Sheet'!Q493</f>
        <v>0</v>
      </c>
      <c r="D320" s="1055"/>
      <c r="E320" s="1069">
        <v>8.5000000000000006E-3</v>
      </c>
      <c r="F320" s="1069"/>
    </row>
    <row r="321" spans="1:12" ht="15" x14ac:dyDescent="0.2">
      <c r="A321" s="337">
        <v>27205</v>
      </c>
      <c r="B321" s="347" t="s">
        <v>1167</v>
      </c>
      <c r="C321" s="1101">
        <f>+'[15]Input Sheet'!Q494</f>
        <v>0</v>
      </c>
      <c r="D321" s="1055"/>
      <c r="E321" s="1069">
        <v>0</v>
      </c>
      <c r="F321" s="1069"/>
    </row>
    <row r="322" spans="1:12" x14ac:dyDescent="0.2">
      <c r="A322" s="337">
        <v>27207</v>
      </c>
      <c r="B322" s="373" t="s">
        <v>1168</v>
      </c>
      <c r="C322" s="1101">
        <f>+'[15]Input Sheet'!Q495</f>
        <v>0</v>
      </c>
      <c r="D322" s="1055"/>
      <c r="E322" s="1069">
        <v>0</v>
      </c>
      <c r="F322" s="1069"/>
    </row>
    <row r="323" spans="1:12" x14ac:dyDescent="0.2">
      <c r="A323" s="337">
        <v>27208</v>
      </c>
      <c r="B323" s="373" t="s">
        <v>1169</v>
      </c>
      <c r="C323" s="1101">
        <f>+'[15]Input Sheet'!Q496</f>
        <v>0</v>
      </c>
      <c r="D323" s="1055"/>
      <c r="E323" s="1069">
        <v>0</v>
      </c>
      <c r="F323" s="1069"/>
    </row>
    <row r="324" spans="1:12" x14ac:dyDescent="0.2">
      <c r="A324" s="337">
        <v>27209</v>
      </c>
      <c r="B324" s="373" t="s">
        <v>1170</v>
      </c>
      <c r="C324" s="1101">
        <f>+'[15]Input Sheet'!Q497</f>
        <v>1.0620000000000001E-4</v>
      </c>
      <c r="D324" s="1055"/>
      <c r="E324" s="1069">
        <v>8.5692000000000008E-3</v>
      </c>
      <c r="F324" s="1069"/>
    </row>
    <row r="325" spans="1:12" ht="15" x14ac:dyDescent="0.2">
      <c r="A325" s="337">
        <v>27210</v>
      </c>
      <c r="B325" s="347" t="s">
        <v>1171</v>
      </c>
      <c r="C325" s="1101">
        <f>+'[15]Input Sheet'!Q498</f>
        <v>0</v>
      </c>
      <c r="D325" s="1055"/>
      <c r="E325" s="1069">
        <v>0</v>
      </c>
      <c r="F325" s="1069"/>
    </row>
    <row r="326" spans="1:12" x14ac:dyDescent="0.2">
      <c r="A326" s="337">
        <v>27215</v>
      </c>
      <c r="B326" s="373" t="s">
        <v>1172</v>
      </c>
      <c r="C326" s="1101">
        <f>+'[15]Input Sheet'!Q499</f>
        <v>8.9930000000000001E-4</v>
      </c>
      <c r="D326" s="1055"/>
      <c r="E326" s="1069">
        <v>8.9930000000000001E-4</v>
      </c>
      <c r="F326" s="1069"/>
    </row>
    <row r="327" spans="1:12" x14ac:dyDescent="0.2">
      <c r="A327" s="337">
        <v>99101</v>
      </c>
      <c r="B327" s="373" t="s">
        <v>1140</v>
      </c>
      <c r="C327" s="1101">
        <f>+H1414</f>
        <v>0</v>
      </c>
      <c r="D327" s="1055"/>
      <c r="E327" s="1069">
        <v>3.3008938140000001</v>
      </c>
      <c r="F327" s="1069"/>
    </row>
    <row r="328" spans="1:12" x14ac:dyDescent="0.2">
      <c r="A328" s="337">
        <v>99106</v>
      </c>
      <c r="B328" s="373" t="s">
        <v>1232</v>
      </c>
      <c r="C328" s="1101">
        <f>+'[15]Input Sheet'!L1352</f>
        <v>0.48509429999999998</v>
      </c>
      <c r="D328" s="1104"/>
      <c r="E328" s="1069">
        <v>0.53390481000000001</v>
      </c>
      <c r="F328" s="1069"/>
    </row>
    <row r="329" spans="1:12" ht="12" customHeight="1" x14ac:dyDescent="0.2">
      <c r="A329" s="337"/>
      <c r="B329" s="374" t="s">
        <v>92</v>
      </c>
      <c r="C329" s="1108">
        <f>SUM(C312:C328)</f>
        <v>1.781401367</v>
      </c>
      <c r="D329" s="1055">
        <f>SUM(C312:C328)</f>
        <v>1.781401367</v>
      </c>
      <c r="E329" s="1108">
        <f>SUM(E312:E328)</f>
        <v>5.3623333400000002</v>
      </c>
      <c r="F329" s="1103">
        <f>SUM(E312:E328)</f>
        <v>5.3623333400000002</v>
      </c>
    </row>
    <row r="330" spans="1:12" x14ac:dyDescent="0.2">
      <c r="A330" s="337">
        <v>46953</v>
      </c>
      <c r="B330" s="391" t="s">
        <v>1233</v>
      </c>
      <c r="C330" s="1119"/>
      <c r="D330" s="1055">
        <f>+IF(('[15]Input Sheet'!Q710&gt;0), 0, -'[15]Input Sheet'!Q710)</f>
        <v>0</v>
      </c>
      <c r="E330" s="1069"/>
      <c r="F330" s="1069">
        <v>0</v>
      </c>
    </row>
    <row r="331" spans="1:12" x14ac:dyDescent="0.2">
      <c r="A331" s="337"/>
      <c r="B331" s="378" t="s">
        <v>1234</v>
      </c>
      <c r="C331" s="1093"/>
      <c r="D331" s="1055"/>
      <c r="E331" s="1069"/>
      <c r="F331" s="1069"/>
    </row>
    <row r="332" spans="1:12" x14ac:dyDescent="0.2">
      <c r="A332" s="337">
        <v>27890</v>
      </c>
      <c r="B332" s="374" t="s">
        <v>1142</v>
      </c>
      <c r="C332" s="1101"/>
      <c r="D332" s="1055">
        <f>'[15]Input Sheet'!Q507</f>
        <v>0</v>
      </c>
      <c r="E332" s="1069"/>
      <c r="F332" s="1069">
        <v>0</v>
      </c>
    </row>
    <row r="333" spans="1:12" x14ac:dyDescent="0.2">
      <c r="A333" s="352"/>
      <c r="B333" s="392" t="s">
        <v>92</v>
      </c>
      <c r="C333" s="1120"/>
      <c r="D333" s="1074">
        <f>D329+D332+D330</f>
        <v>1.781401367</v>
      </c>
      <c r="E333" s="1069"/>
      <c r="F333" s="1075">
        <f>F329+F332</f>
        <v>5.3623333400000002</v>
      </c>
    </row>
    <row r="334" spans="1:12" x14ac:dyDescent="0.2">
      <c r="A334" s="367"/>
      <c r="C334" s="1098"/>
      <c r="D334" s="1098"/>
      <c r="E334" s="1069"/>
      <c r="F334" s="1069"/>
    </row>
    <row r="335" spans="1:12" x14ac:dyDescent="0.2">
      <c r="A335" s="367"/>
      <c r="C335" s="1098"/>
      <c r="D335" s="1098"/>
      <c r="E335" s="1069"/>
      <c r="F335" s="1069"/>
    </row>
    <row r="336" spans="1:12" x14ac:dyDescent="0.2">
      <c r="A336" s="369" t="s">
        <v>24</v>
      </c>
      <c r="B336" s="370" t="s">
        <v>880</v>
      </c>
      <c r="C336" s="1079"/>
      <c r="D336" s="1079"/>
      <c r="E336" s="1077"/>
      <c r="F336" s="1077"/>
      <c r="G336" s="346"/>
      <c r="H336" s="346"/>
      <c r="I336" s="346"/>
      <c r="J336" s="346"/>
      <c r="K336" s="346"/>
      <c r="L336" s="346"/>
    </row>
    <row r="337" spans="1:6" x14ac:dyDescent="0.2">
      <c r="A337" s="337"/>
      <c r="B337" s="324"/>
      <c r="C337" s="1055"/>
      <c r="D337" s="1055"/>
      <c r="E337" s="1069"/>
      <c r="F337" s="1069"/>
    </row>
    <row r="338" spans="1:6" x14ac:dyDescent="0.2">
      <c r="A338" s="337"/>
      <c r="B338" s="374" t="s">
        <v>538</v>
      </c>
      <c r="C338" s="1101"/>
      <c r="D338" s="1055"/>
      <c r="E338" s="1069"/>
      <c r="F338" s="1069"/>
    </row>
    <row r="339" spans="1:6" x14ac:dyDescent="0.2">
      <c r="A339" s="337">
        <v>28260</v>
      </c>
      <c r="B339" s="373" t="s">
        <v>1235</v>
      </c>
      <c r="C339" s="1101">
        <f>+'[15]Input Sheet'!Q511</f>
        <v>5.9257579000000005E-2</v>
      </c>
      <c r="D339" s="1055"/>
      <c r="E339" s="1069">
        <v>0.20923392099999999</v>
      </c>
      <c r="F339" s="1069"/>
    </row>
    <row r="340" spans="1:6" x14ac:dyDescent="0.2">
      <c r="A340" s="337">
        <v>28401</v>
      </c>
      <c r="B340" s="373" t="s">
        <v>1143</v>
      </c>
      <c r="C340" s="1101">
        <f>+'[15]Input Sheet'!Q512</f>
        <v>0</v>
      </c>
      <c r="D340" s="1055"/>
      <c r="E340" s="1069">
        <v>0</v>
      </c>
      <c r="F340" s="1069"/>
    </row>
    <row r="341" spans="1:6" x14ac:dyDescent="0.2">
      <c r="A341" s="337">
        <v>28402</v>
      </c>
      <c r="B341" s="373" t="s">
        <v>1236</v>
      </c>
      <c r="C341" s="1101">
        <f>+'[15]Input Sheet'!Q513</f>
        <v>0</v>
      </c>
      <c r="D341" s="1055"/>
      <c r="E341" s="1069">
        <v>0</v>
      </c>
      <c r="F341" s="1069"/>
    </row>
    <row r="342" spans="1:6" x14ac:dyDescent="0.2">
      <c r="A342" s="337">
        <v>28403</v>
      </c>
      <c r="B342" s="343" t="s">
        <v>1237</v>
      </c>
      <c r="C342" s="1101">
        <f>+'[15]Input Sheet'!Q514</f>
        <v>0</v>
      </c>
      <c r="D342" s="1055"/>
      <c r="E342" s="1069">
        <v>0</v>
      </c>
      <c r="F342" s="1069"/>
    </row>
    <row r="343" spans="1:6" x14ac:dyDescent="0.2">
      <c r="A343" s="337">
        <v>28404</v>
      </c>
      <c r="B343" s="343" t="s">
        <v>1238</v>
      </c>
      <c r="C343" s="1101">
        <f>+'[15]Input Sheet'!Q515</f>
        <v>0</v>
      </c>
      <c r="D343" s="1055"/>
      <c r="E343" s="1069">
        <v>0</v>
      </c>
      <c r="F343" s="1069"/>
    </row>
    <row r="344" spans="1:6" x14ac:dyDescent="0.2">
      <c r="A344" s="337"/>
      <c r="B344" s="373"/>
      <c r="C344" s="1101"/>
      <c r="D344" s="1055"/>
      <c r="E344" s="1121"/>
      <c r="F344" s="1069"/>
    </row>
    <row r="345" spans="1:6" x14ac:dyDescent="0.2">
      <c r="A345" s="337">
        <v>28850</v>
      </c>
      <c r="B345" s="373" t="s">
        <v>1239</v>
      </c>
      <c r="C345" s="1101">
        <f>+'[15]Input Sheet'!Q523</f>
        <v>3.0832314859999999</v>
      </c>
      <c r="D345" s="1055"/>
      <c r="E345" s="1069">
        <v>2.721993774</v>
      </c>
      <c r="F345" s="1069"/>
    </row>
    <row r="346" spans="1:6" ht="25.5" x14ac:dyDescent="0.2">
      <c r="A346" s="337">
        <v>99200</v>
      </c>
      <c r="B346" s="375" t="s">
        <v>1240</v>
      </c>
      <c r="C346" s="1082">
        <f>+'[15]Input Sheet'!Q1364</f>
        <v>0.84401474399999998</v>
      </c>
      <c r="D346" s="1104"/>
      <c r="E346" s="1069">
        <v>0.111244706</v>
      </c>
      <c r="F346" s="1069"/>
    </row>
    <row r="347" spans="1:6" x14ac:dyDescent="0.2">
      <c r="A347" s="337"/>
      <c r="B347" s="341" t="s">
        <v>92</v>
      </c>
      <c r="C347" s="1079">
        <f>SUM(C339:C346)</f>
        <v>3.9865038089999998</v>
      </c>
      <c r="D347" s="1055">
        <f>SUM(C339:C346)</f>
        <v>3.9865038089999998</v>
      </c>
      <c r="E347" s="1079">
        <f>SUM(E339:E346)</f>
        <v>3.0424724009999999</v>
      </c>
      <c r="F347" s="1103">
        <f>SUM(E339:E346)</f>
        <v>3.0424724009999999</v>
      </c>
    </row>
    <row r="348" spans="1:6" x14ac:dyDescent="0.2">
      <c r="A348" s="337"/>
      <c r="B348" s="324"/>
      <c r="C348" s="1055"/>
      <c r="D348" s="1055"/>
      <c r="E348" s="1069"/>
      <c r="F348" s="1069"/>
    </row>
    <row r="349" spans="1:6" x14ac:dyDescent="0.2">
      <c r="A349" s="337">
        <v>28891</v>
      </c>
      <c r="B349" s="373" t="s">
        <v>1241</v>
      </c>
      <c r="C349" s="1101"/>
      <c r="D349" s="1055">
        <f>'[15]Input Sheet'!Q538</f>
        <v>5564.6297004089993</v>
      </c>
      <c r="E349" s="1069"/>
      <c r="F349" s="1069">
        <v>1225.3813603120002</v>
      </c>
    </row>
    <row r="350" spans="1:6" x14ac:dyDescent="0.2">
      <c r="A350" s="337">
        <v>28892</v>
      </c>
      <c r="B350" s="373" t="s">
        <v>1242</v>
      </c>
      <c r="C350" s="1101"/>
      <c r="D350" s="1055">
        <f>'[15]Input Sheet'!Q539</f>
        <v>0</v>
      </c>
      <c r="E350" s="1069"/>
      <c r="F350" s="1069">
        <v>0</v>
      </c>
    </row>
    <row r="351" spans="1:6" x14ac:dyDescent="0.2">
      <c r="A351" s="337"/>
      <c r="B351" s="373"/>
      <c r="C351" s="1101"/>
      <c r="D351" s="1055"/>
      <c r="E351" s="1069"/>
      <c r="F351" s="1069"/>
    </row>
    <row r="352" spans="1:6" x14ac:dyDescent="0.2">
      <c r="A352" s="337"/>
      <c r="B352" s="374" t="s">
        <v>1243</v>
      </c>
      <c r="C352" s="1102"/>
      <c r="D352" s="1055"/>
      <c r="E352" s="1069"/>
      <c r="F352" s="1069"/>
    </row>
    <row r="353" spans="1:6" x14ac:dyDescent="0.2">
      <c r="A353" s="337"/>
      <c r="B353" s="377"/>
      <c r="C353" s="393"/>
      <c r="D353" s="1055"/>
      <c r="E353" s="1069"/>
      <c r="F353" s="1069"/>
    </row>
    <row r="354" spans="1:6" ht="15" x14ac:dyDescent="0.2">
      <c r="A354" s="337">
        <v>28804</v>
      </c>
      <c r="B354" s="347" t="s">
        <v>1244</v>
      </c>
      <c r="C354" s="1087"/>
      <c r="D354" s="1055">
        <f>+'[15]Input Sheet'!Q518</f>
        <v>27.608270213999997</v>
      </c>
      <c r="E354" s="1069"/>
      <c r="F354" s="1069">
        <v>29.005027813999998</v>
      </c>
    </row>
    <row r="355" spans="1:6" x14ac:dyDescent="0.2">
      <c r="A355" s="337"/>
      <c r="B355" s="324"/>
      <c r="C355" s="1055"/>
      <c r="D355" s="1055"/>
      <c r="E355" s="1055"/>
      <c r="F355" s="1103"/>
    </row>
    <row r="356" spans="1:6" x14ac:dyDescent="0.2">
      <c r="A356" s="337">
        <v>28890</v>
      </c>
      <c r="B356" s="373" t="s">
        <v>540</v>
      </c>
      <c r="C356" s="1055"/>
      <c r="D356" s="1055">
        <f>+'[15]Input Sheet'!Q537</f>
        <v>2.940679668</v>
      </c>
      <c r="E356" s="1069"/>
      <c r="F356" s="1069">
        <v>2.0145718000000001</v>
      </c>
    </row>
    <row r="357" spans="1:6" x14ac:dyDescent="0.2">
      <c r="A357" s="337">
        <v>99105</v>
      </c>
      <c r="B357" s="363" t="s">
        <v>541</v>
      </c>
      <c r="C357" s="1093"/>
      <c r="D357" s="1055">
        <f>'[15]Input Sheet'!Q1351</f>
        <v>110.951158273</v>
      </c>
      <c r="E357" s="1069"/>
      <c r="F357" s="1069">
        <v>111.33233335199999</v>
      </c>
    </row>
    <row r="358" spans="1:6" x14ac:dyDescent="0.2">
      <c r="A358" s="337"/>
      <c r="B358" s="363"/>
      <c r="C358" s="1093"/>
      <c r="D358" s="1055"/>
      <c r="E358" s="1069"/>
      <c r="F358" s="1069"/>
    </row>
    <row r="359" spans="1:6" ht="28.5" x14ac:dyDescent="0.2">
      <c r="A359" s="337"/>
      <c r="B359" s="394" t="s">
        <v>542</v>
      </c>
      <c r="C359" s="1093"/>
      <c r="D359" s="1055"/>
      <c r="E359" s="1069"/>
      <c r="F359" s="1069"/>
    </row>
    <row r="360" spans="1:6" x14ac:dyDescent="0.2">
      <c r="A360" s="337">
        <v>99108</v>
      </c>
      <c r="B360" s="363" t="s">
        <v>1245</v>
      </c>
      <c r="C360" s="1093">
        <f>+(G1474+G1480)/10^7</f>
        <v>2.670166</v>
      </c>
      <c r="D360" s="1055"/>
      <c r="E360" s="1069">
        <v>1.0864830000000001</v>
      </c>
      <c r="F360" s="1069"/>
    </row>
    <row r="361" spans="1:6" x14ac:dyDescent="0.2">
      <c r="A361" s="337">
        <v>99108</v>
      </c>
      <c r="B361" s="363" t="s">
        <v>1246</v>
      </c>
      <c r="C361" s="1093">
        <f>+G1490/10^7</f>
        <v>12.8</v>
      </c>
      <c r="D361" s="1055"/>
      <c r="E361" s="1069">
        <v>14.8</v>
      </c>
      <c r="F361" s="1069"/>
    </row>
    <row r="362" spans="1:6" x14ac:dyDescent="0.2">
      <c r="A362" s="337"/>
      <c r="B362" s="363"/>
      <c r="C362" s="1122">
        <f>SUM(C360:C361)</f>
        <v>15.470166000000001</v>
      </c>
      <c r="D362" s="1076">
        <f>+C362</f>
        <v>15.470166000000001</v>
      </c>
      <c r="E362" s="1122">
        <f>SUM(E360:E361)</f>
        <v>15.886483</v>
      </c>
      <c r="F362" s="1123">
        <f>+E362</f>
        <v>15.886483</v>
      </c>
    </row>
    <row r="363" spans="1:6" x14ac:dyDescent="0.2">
      <c r="A363" s="337">
        <v>22657</v>
      </c>
      <c r="B363" s="363" t="s">
        <v>543</v>
      </c>
      <c r="C363" s="1093">
        <f>'[15]Input Sheet'!Q132</f>
        <v>1.7416499999999999</v>
      </c>
      <c r="D363" s="1055">
        <f>C363</f>
        <v>1.7416499999999999</v>
      </c>
      <c r="E363" s="1069">
        <v>1.9577500000000001</v>
      </c>
      <c r="F363" s="1069">
        <v>1.9577500000000001</v>
      </c>
    </row>
    <row r="364" spans="1:6" x14ac:dyDescent="0.2">
      <c r="A364" s="337"/>
      <c r="B364" s="363" t="s">
        <v>882</v>
      </c>
      <c r="C364" s="1093"/>
      <c r="D364" s="1055"/>
      <c r="E364" s="1069"/>
      <c r="F364" s="1069"/>
    </row>
    <row r="365" spans="1:6" x14ac:dyDescent="0.2">
      <c r="A365" s="337">
        <v>99108</v>
      </c>
      <c r="B365" s="373" t="s">
        <v>1247</v>
      </c>
      <c r="C365" s="1055">
        <f>+'[15]Input Sheet'!Q1354-C362</f>
        <v>136.39828947300001</v>
      </c>
      <c r="D365" s="1055"/>
      <c r="E365" s="1069">
        <v>134.78884522300001</v>
      </c>
      <c r="F365" s="1069"/>
    </row>
    <row r="366" spans="1:6" x14ac:dyDescent="0.2">
      <c r="A366" s="337">
        <v>28809</v>
      </c>
      <c r="B366" s="373" t="s">
        <v>1248</v>
      </c>
      <c r="C366" s="1101">
        <f>+'[15]Input Sheet'!Q519</f>
        <v>0</v>
      </c>
      <c r="D366" s="1055"/>
      <c r="E366" s="1069">
        <v>0</v>
      </c>
      <c r="F366" s="1069"/>
    </row>
    <row r="367" spans="1:6" x14ac:dyDescent="0.2">
      <c r="A367" s="337">
        <v>99120</v>
      </c>
      <c r="B367" s="373" t="s">
        <v>1146</v>
      </c>
      <c r="C367" s="1101">
        <f>+'[15]Input Sheet'!Q1363</f>
        <v>1.7094788999999999</v>
      </c>
      <c r="D367" s="1055"/>
      <c r="E367" s="1069">
        <v>1.7094788999999999</v>
      </c>
      <c r="F367" s="1069"/>
    </row>
    <row r="368" spans="1:6" x14ac:dyDescent="0.2">
      <c r="A368" s="337">
        <v>28801</v>
      </c>
      <c r="B368" s="373" t="s">
        <v>1144</v>
      </c>
      <c r="C368" s="1101">
        <f>+'[15]Input Sheet'!Q516</f>
        <v>25.598738600000001</v>
      </c>
      <c r="D368" s="1055"/>
      <c r="E368" s="1121">
        <v>25.598738600000001</v>
      </c>
      <c r="F368" s="1069"/>
    </row>
    <row r="369" spans="1:12" ht="25.5" x14ac:dyDescent="0.2">
      <c r="A369" s="337">
        <v>28811</v>
      </c>
      <c r="B369" s="395" t="s">
        <v>1147</v>
      </c>
      <c r="C369" s="1124">
        <f>+'[15]Input Sheet'!Q520</f>
        <v>0</v>
      </c>
      <c r="D369" s="1104"/>
      <c r="E369" s="1069">
        <v>0</v>
      </c>
      <c r="F369" s="1069"/>
    </row>
    <row r="370" spans="1:12" x14ac:dyDescent="0.2">
      <c r="A370" s="337"/>
      <c r="B370" s="395"/>
      <c r="C370" s="1124"/>
      <c r="D370" s="1055">
        <f>SUM(C365:C369)</f>
        <v>163.70650697299999</v>
      </c>
      <c r="E370" s="1069"/>
      <c r="F370" s="1103">
        <f>SUM(E365:E369)</f>
        <v>162.09706272299999</v>
      </c>
    </row>
    <row r="371" spans="1:12" ht="13.5" thickBot="1" x14ac:dyDescent="0.25">
      <c r="A371" s="337"/>
      <c r="B371" s="380" t="s">
        <v>92</v>
      </c>
      <c r="C371" s="1112"/>
      <c r="D371" s="1064">
        <f>+SUM(D347:D370)</f>
        <v>5891.034635345999</v>
      </c>
      <c r="E371" s="1069"/>
      <c r="F371" s="1081">
        <f>+SUM(F347:F370)</f>
        <v>1550.7170614020001</v>
      </c>
    </row>
    <row r="372" spans="1:12" ht="13.5" thickTop="1" x14ac:dyDescent="0.2">
      <c r="A372" s="337"/>
      <c r="B372" s="375"/>
      <c r="C372" s="1082"/>
      <c r="D372" s="1055"/>
      <c r="E372" s="1069"/>
      <c r="F372" s="1069"/>
    </row>
    <row r="373" spans="1:12" x14ac:dyDescent="0.2">
      <c r="A373" s="340" t="s">
        <v>26</v>
      </c>
      <c r="B373" s="341" t="s">
        <v>883</v>
      </c>
      <c r="C373" s="1060"/>
      <c r="D373" s="1060"/>
      <c r="E373" s="1077"/>
      <c r="F373" s="1077"/>
      <c r="G373" s="346"/>
      <c r="H373" s="346"/>
      <c r="I373" s="346"/>
      <c r="J373" s="346"/>
      <c r="K373" s="346"/>
      <c r="L373" s="346"/>
    </row>
    <row r="374" spans="1:12" x14ac:dyDescent="0.2">
      <c r="A374" s="337">
        <v>28820</v>
      </c>
      <c r="B374" s="373" t="s">
        <v>546</v>
      </c>
      <c r="C374" s="1101"/>
      <c r="D374" s="1055">
        <f>'[15]Input Sheet'!Q521</f>
        <v>35.312575172000003</v>
      </c>
      <c r="E374" s="1069"/>
      <c r="F374" s="1069">
        <v>26.947556613</v>
      </c>
    </row>
    <row r="375" spans="1:12" x14ac:dyDescent="0.2">
      <c r="A375" s="337">
        <v>28901</v>
      </c>
      <c r="B375" s="363" t="s">
        <v>1249</v>
      </c>
      <c r="C375" s="1093"/>
      <c r="D375" s="1055">
        <f>'[15]Input Sheet'!Q540</f>
        <v>0</v>
      </c>
      <c r="E375" s="1069"/>
      <c r="F375" s="1069">
        <v>0</v>
      </c>
    </row>
    <row r="376" spans="1:12" x14ac:dyDescent="0.2">
      <c r="A376" s="337"/>
      <c r="B376" s="363"/>
      <c r="C376" s="1093"/>
      <c r="D376" s="1055"/>
      <c r="E376" s="1069"/>
      <c r="F376" s="1069"/>
    </row>
    <row r="377" spans="1:12" x14ac:dyDescent="0.2">
      <c r="A377" s="337">
        <v>99101</v>
      </c>
      <c r="B377" s="396" t="s">
        <v>1250</v>
      </c>
      <c r="C377" s="1125"/>
      <c r="D377" s="1055">
        <f>+H1410</f>
        <v>408.85345701</v>
      </c>
      <c r="E377" s="1069"/>
      <c r="F377" s="1069">
        <v>336.00115118999997</v>
      </c>
    </row>
    <row r="378" spans="1:12" x14ac:dyDescent="0.2">
      <c r="A378" s="337">
        <v>99101</v>
      </c>
      <c r="B378" s="397" t="s">
        <v>1150</v>
      </c>
      <c r="C378" s="1115">
        <f>++H1415</f>
        <v>1.6928646179999873</v>
      </c>
      <c r="D378" s="1055"/>
      <c r="E378" s="1069">
        <v>1.6928646179999873</v>
      </c>
      <c r="F378" s="1069"/>
    </row>
    <row r="379" spans="1:12" x14ac:dyDescent="0.2">
      <c r="A379" s="337">
        <v>99103</v>
      </c>
      <c r="B379" s="397" t="s">
        <v>1251</v>
      </c>
      <c r="C379" s="1115">
        <f>++'[15]Input Sheet'!L1350</f>
        <v>418.377960707</v>
      </c>
      <c r="D379" s="1055"/>
      <c r="E379" s="1069">
        <v>448.60185636899996</v>
      </c>
      <c r="F379" s="1069"/>
    </row>
    <row r="380" spans="1:12" x14ac:dyDescent="0.2">
      <c r="A380" s="337">
        <v>99109</v>
      </c>
      <c r="B380" s="398" t="s">
        <v>1148</v>
      </c>
      <c r="C380" s="1115">
        <f>+'[15]Input Sheet'!Q1355</f>
        <v>41.295333849000002</v>
      </c>
      <c r="D380" s="1055"/>
      <c r="E380" s="1069">
        <v>82.447334486000003</v>
      </c>
      <c r="F380" s="1069"/>
    </row>
    <row r="381" spans="1:12" x14ac:dyDescent="0.2">
      <c r="A381" s="337"/>
      <c r="B381" s="397"/>
      <c r="C381" s="1126">
        <f>+SUM(C378:C380)</f>
        <v>461.36615917400002</v>
      </c>
      <c r="D381" s="1076">
        <f>+SUM(C378:C380)</f>
        <v>461.36615917400002</v>
      </c>
      <c r="E381" s="1126">
        <f>+SUM(E378:E380)</f>
        <v>532.74205547299994</v>
      </c>
      <c r="F381" s="1123">
        <f>+SUM(E378:E380)</f>
        <v>532.74205547299994</v>
      </c>
    </row>
    <row r="382" spans="1:12" ht="25.5" x14ac:dyDescent="0.2">
      <c r="A382" s="337">
        <v>27900</v>
      </c>
      <c r="B382" s="387" t="s">
        <v>549</v>
      </c>
      <c r="C382" s="1114"/>
      <c r="D382" s="1114">
        <f>+I1415</f>
        <v>0</v>
      </c>
      <c r="E382" s="1069"/>
      <c r="F382" s="1069">
        <v>0</v>
      </c>
    </row>
    <row r="383" spans="1:12" x14ac:dyDescent="0.2">
      <c r="A383" s="337"/>
      <c r="B383" s="374"/>
      <c r="C383" s="1102"/>
      <c r="D383" s="1055">
        <f>SUM(D378:D382)</f>
        <v>461.36615917400002</v>
      </c>
      <c r="E383" s="1069"/>
      <c r="F383" s="1103">
        <f>SUM(F378:F382)</f>
        <v>532.74205547299994</v>
      </c>
    </row>
    <row r="384" spans="1:12" ht="13.5" thickBot="1" x14ac:dyDescent="0.25">
      <c r="A384" s="337"/>
      <c r="B384" s="380" t="s">
        <v>92</v>
      </c>
      <c r="C384" s="1112"/>
      <c r="D384" s="1064">
        <f>D383+SUM(D374:D377)</f>
        <v>905.532191356</v>
      </c>
      <c r="E384" s="1069"/>
      <c r="F384" s="1081">
        <f>F383+SUM(F374:F377)</f>
        <v>895.69076327599987</v>
      </c>
    </row>
    <row r="385" spans="1:13" ht="13.5" thickTop="1" x14ac:dyDescent="0.2">
      <c r="A385" s="337"/>
      <c r="B385" s="399"/>
      <c r="C385" s="1055"/>
      <c r="D385" s="1055"/>
      <c r="E385" s="1069"/>
      <c r="F385" s="1069"/>
    </row>
    <row r="386" spans="1:13" x14ac:dyDescent="0.2">
      <c r="A386" s="340" t="s">
        <v>28</v>
      </c>
      <c r="B386" s="374" t="s">
        <v>1252</v>
      </c>
      <c r="C386" s="1102"/>
      <c r="D386" s="1060"/>
      <c r="E386" s="1077"/>
      <c r="F386" s="1077"/>
      <c r="G386" s="346"/>
      <c r="H386" s="346"/>
      <c r="I386" s="346"/>
      <c r="J386" s="346"/>
      <c r="K386" s="346"/>
      <c r="L386" s="346"/>
      <c r="M386" s="346"/>
    </row>
    <row r="387" spans="1:13" x14ac:dyDescent="0.2">
      <c r="A387" s="384">
        <v>54510</v>
      </c>
      <c r="B387" s="364" t="s">
        <v>1252</v>
      </c>
      <c r="C387" s="1090"/>
      <c r="D387" s="1090">
        <f>'[15]Input Sheet'!R1036-D398</f>
        <v>26009.637229426</v>
      </c>
      <c r="E387" s="1069"/>
      <c r="F387" s="1127">
        <v>25450.446225999996</v>
      </c>
      <c r="G387" s="333">
        <f>D387-F387</f>
        <v>559.19100342600359</v>
      </c>
    </row>
    <row r="388" spans="1:13" x14ac:dyDescent="0.2">
      <c r="A388" s="384"/>
      <c r="B388" s="324"/>
      <c r="C388" s="1055"/>
      <c r="D388" s="1055"/>
      <c r="E388" s="1069"/>
      <c r="F388" s="1069"/>
    </row>
    <row r="389" spans="1:13" x14ac:dyDescent="0.2">
      <c r="A389" s="337"/>
      <c r="B389" s="374"/>
      <c r="C389" s="1102"/>
      <c r="D389" s="1055"/>
      <c r="E389" s="1069"/>
      <c r="F389" s="1069"/>
    </row>
    <row r="390" spans="1:13" x14ac:dyDescent="0.2">
      <c r="A390" s="340" t="s">
        <v>30</v>
      </c>
      <c r="B390" s="374" t="s">
        <v>1253</v>
      </c>
      <c r="C390" s="1102"/>
      <c r="D390" s="1060"/>
      <c r="E390" s="1077"/>
      <c r="F390" s="1077"/>
      <c r="G390" s="346"/>
      <c r="H390" s="346"/>
      <c r="I390" s="346"/>
      <c r="J390" s="346"/>
      <c r="K390" s="346"/>
      <c r="L390" s="346"/>
      <c r="M390" s="346"/>
    </row>
    <row r="391" spans="1:13" x14ac:dyDescent="0.2">
      <c r="A391" s="337"/>
      <c r="B391" s="373" t="s">
        <v>1253</v>
      </c>
      <c r="C391" s="1101"/>
      <c r="D391" s="1055"/>
      <c r="E391" s="1069"/>
      <c r="F391" s="1069"/>
    </row>
    <row r="392" spans="1:13" x14ac:dyDescent="0.2">
      <c r="A392" s="337">
        <v>56100</v>
      </c>
      <c r="B392" s="373" t="s">
        <v>1254</v>
      </c>
      <c r="C392" s="1101">
        <f>+'[15]Input Sheet'!R1043</f>
        <v>0</v>
      </c>
      <c r="D392" s="1055">
        <f>+C392</f>
        <v>0</v>
      </c>
      <c r="E392" s="1069">
        <v>0</v>
      </c>
      <c r="F392" s="1069">
        <v>0</v>
      </c>
      <c r="H392" s="806"/>
    </row>
    <row r="393" spans="1:13" x14ac:dyDescent="0.2">
      <c r="A393" s="337">
        <v>56200</v>
      </c>
      <c r="B393" s="373" t="s">
        <v>1255</v>
      </c>
      <c r="C393" s="1101">
        <f>+'[15]Input Sheet'!R1044</f>
        <v>0</v>
      </c>
      <c r="D393" s="1055">
        <f>+C393</f>
        <v>0</v>
      </c>
      <c r="E393" s="1069">
        <v>0</v>
      </c>
      <c r="F393" s="1069">
        <v>0</v>
      </c>
    </row>
    <row r="394" spans="1:13" x14ac:dyDescent="0.2">
      <c r="A394" s="337"/>
      <c r="B394" s="373"/>
      <c r="C394" s="1113">
        <f>SUM(C392:C393)</f>
        <v>0</v>
      </c>
      <c r="D394" s="1076">
        <f>+SUM(C392:C393)</f>
        <v>0</v>
      </c>
      <c r="E394" s="1113">
        <f>SUM(E392:E393)</f>
        <v>0</v>
      </c>
      <c r="F394" s="1123">
        <f>+SUM(E392:E393)</f>
        <v>0</v>
      </c>
    </row>
    <row r="395" spans="1:13" x14ac:dyDescent="0.2">
      <c r="A395" s="337">
        <v>58210</v>
      </c>
      <c r="B395" s="373" t="s">
        <v>1256</v>
      </c>
      <c r="C395" s="1101"/>
      <c r="D395" s="1055">
        <f>'[15]Input Sheet'!R1046</f>
        <v>-8488.3401748070009</v>
      </c>
      <c r="E395" s="1069"/>
      <c r="F395" s="1069">
        <v>-6805.4560021769994</v>
      </c>
      <c r="H395" s="806"/>
    </row>
    <row r="396" spans="1:13" x14ac:dyDescent="0.2">
      <c r="A396" s="337">
        <v>58211</v>
      </c>
      <c r="B396" s="373" t="s">
        <v>1257</v>
      </c>
      <c r="C396" s="1101"/>
      <c r="D396" s="1055">
        <f>'[15]Input Sheet'!R1047</f>
        <v>265.27238875300003</v>
      </c>
      <c r="E396" s="1069"/>
      <c r="F396" s="1069">
        <v>265.27238875300003</v>
      </c>
      <c r="H396" s="806"/>
      <c r="I396" s="806"/>
    </row>
    <row r="397" spans="1:13" x14ac:dyDescent="0.2">
      <c r="A397" s="337"/>
      <c r="B397" s="373" t="s">
        <v>1258</v>
      </c>
      <c r="C397" s="1101"/>
      <c r="D397" s="1055">
        <f>'[15]balance sheet P&amp;L'!D102</f>
        <v>-796.03891433351282</v>
      </c>
      <c r="E397" s="1069"/>
      <c r="F397" s="1069">
        <f>'[15]balance sheet P&amp;L'!E102</f>
        <v>-1644.3397412090421</v>
      </c>
      <c r="H397" s="194"/>
    </row>
    <row r="398" spans="1:13" ht="25.5" x14ac:dyDescent="0.2">
      <c r="A398" s="337"/>
      <c r="B398" s="375" t="s">
        <v>1259</v>
      </c>
      <c r="C398" s="1082"/>
      <c r="D398" s="1128"/>
      <c r="E398" s="1069"/>
      <c r="F398" s="1069">
        <v>468.05001187801292</v>
      </c>
    </row>
    <row r="399" spans="1:13" ht="13.5" thickBot="1" x14ac:dyDescent="0.25">
      <c r="A399" s="337"/>
      <c r="B399" s="380" t="s">
        <v>722</v>
      </c>
      <c r="C399" s="1112"/>
      <c r="D399" s="1091">
        <f>SUM(D392:D398)</f>
        <v>-9019.1067003875141</v>
      </c>
      <c r="E399" s="1069"/>
      <c r="F399" s="1092">
        <f>SUM(F392:F398)</f>
        <v>-7716.4733427550291</v>
      </c>
      <c r="M399" s="346"/>
    </row>
    <row r="400" spans="1:13" ht="13.5" thickTop="1" x14ac:dyDescent="0.2">
      <c r="A400" s="384"/>
      <c r="B400" s="324"/>
      <c r="C400" s="1055"/>
      <c r="D400" s="1055"/>
      <c r="E400" s="1069"/>
      <c r="F400" s="1069"/>
    </row>
    <row r="401" spans="1:13" x14ac:dyDescent="0.2">
      <c r="A401" s="400" t="s">
        <v>32</v>
      </c>
      <c r="B401" s="341" t="s">
        <v>1260</v>
      </c>
      <c r="C401" s="1060"/>
      <c r="D401" s="1060"/>
      <c r="E401" s="1077"/>
      <c r="F401" s="1077"/>
      <c r="G401" s="346"/>
      <c r="H401" s="346"/>
      <c r="I401" s="346"/>
      <c r="J401" s="346"/>
      <c r="M401" s="346"/>
    </row>
    <row r="402" spans="1:13" x14ac:dyDescent="0.2">
      <c r="A402" s="384"/>
      <c r="B402" s="374" t="s">
        <v>895</v>
      </c>
      <c r="C402" s="1102"/>
      <c r="D402" s="1055"/>
      <c r="E402" s="1069"/>
      <c r="F402" s="1069"/>
    </row>
    <row r="403" spans="1:13" x14ac:dyDescent="0.2">
      <c r="A403" s="384"/>
      <c r="B403" s="324"/>
      <c r="C403" s="1055"/>
      <c r="D403" s="1055"/>
      <c r="E403" s="1069"/>
      <c r="F403" s="1069"/>
    </row>
    <row r="404" spans="1:13" x14ac:dyDescent="0.2">
      <c r="A404" s="384"/>
      <c r="B404" s="378" t="s">
        <v>896</v>
      </c>
      <c r="C404" s="1107"/>
      <c r="D404" s="1055"/>
      <c r="E404" s="1069"/>
      <c r="F404" s="1069"/>
    </row>
    <row r="405" spans="1:13" x14ac:dyDescent="0.2">
      <c r="A405" s="384"/>
      <c r="B405" s="378" t="s">
        <v>897</v>
      </c>
      <c r="C405" s="1107"/>
      <c r="D405" s="1055"/>
      <c r="E405" s="1069"/>
      <c r="F405" s="1069"/>
    </row>
    <row r="406" spans="1:13" x14ac:dyDescent="0.2">
      <c r="A406" s="384"/>
      <c r="B406" s="324" t="s">
        <v>898</v>
      </c>
      <c r="C406" s="1055"/>
      <c r="D406" s="1055"/>
      <c r="E406" s="1069"/>
      <c r="F406" s="1069"/>
    </row>
    <row r="407" spans="1:13" x14ac:dyDescent="0.2">
      <c r="A407" s="401"/>
      <c r="B407" s="402" t="s">
        <v>1261</v>
      </c>
      <c r="C407" s="1093">
        <f>E1228</f>
        <v>9343.7545258000009</v>
      </c>
      <c r="D407" s="1055"/>
      <c r="E407" s="1069">
        <v>10286.862865399999</v>
      </c>
      <c r="F407" s="1069"/>
    </row>
    <row r="408" spans="1:13" x14ac:dyDescent="0.2">
      <c r="A408" s="384"/>
      <c r="B408" s="402" t="s">
        <v>1262</v>
      </c>
      <c r="C408" s="1093">
        <f>E1400</f>
        <v>16304.808480099991</v>
      </c>
      <c r="D408" s="1055"/>
      <c r="E408" s="1069">
        <v>13307.233644500002</v>
      </c>
      <c r="F408" s="1069"/>
    </row>
    <row r="409" spans="1:13" ht="25.5" x14ac:dyDescent="0.2">
      <c r="A409" s="384">
        <v>53414</v>
      </c>
      <c r="B409" s="403" t="s">
        <v>1263</v>
      </c>
      <c r="C409" s="1083">
        <f>'[15]Input Sheet'!R950</f>
        <v>0</v>
      </c>
      <c r="D409" s="1055"/>
      <c r="E409" s="1069">
        <v>1.7491721</v>
      </c>
      <c r="F409" s="1069"/>
    </row>
    <row r="410" spans="1:13" x14ac:dyDescent="0.2">
      <c r="A410" s="384"/>
      <c r="B410" s="403"/>
      <c r="C410" s="1129">
        <f>+SUM(C407:C409)</f>
        <v>25648.563005899992</v>
      </c>
      <c r="D410" s="1055"/>
      <c r="E410" s="1129">
        <f>+SUM(E407:E409)</f>
        <v>23595.845682000003</v>
      </c>
      <c r="F410" s="1069"/>
    </row>
    <row r="411" spans="1:13" x14ac:dyDescent="0.2">
      <c r="A411" s="384"/>
      <c r="B411" s="403" t="s">
        <v>1264</v>
      </c>
      <c r="C411" s="1083">
        <f>+'[15]LT Final'!E9+'[15]LT Final'!E10+'[15]LT Final'!E12+'[15]LT Final'!E11+'[15]LT Final'!E13</f>
        <v>2692.9637093025676</v>
      </c>
      <c r="D411" s="1055"/>
      <c r="E411" s="1069">
        <v>3288.7824586791676</v>
      </c>
      <c r="F411" s="1069"/>
    </row>
    <row r="412" spans="1:13" x14ac:dyDescent="0.2">
      <c r="A412" s="384"/>
      <c r="B412" s="324"/>
      <c r="C412" s="1079">
        <f>+C410-C411</f>
        <v>22955.599296597426</v>
      </c>
      <c r="D412" s="1079">
        <f>+C412</f>
        <v>22955.599296597426</v>
      </c>
      <c r="E412" s="1079">
        <f>+E410-E411</f>
        <v>20307.063223320834</v>
      </c>
      <c r="F412" s="1080">
        <f>+E412</f>
        <v>20307.063223320834</v>
      </c>
    </row>
    <row r="413" spans="1:13" x14ac:dyDescent="0.2">
      <c r="A413" s="384"/>
      <c r="B413" s="358" t="s">
        <v>899</v>
      </c>
      <c r="C413" s="1083"/>
      <c r="D413" s="1060"/>
      <c r="E413" s="1069"/>
      <c r="F413" s="1130"/>
    </row>
    <row r="414" spans="1:13" x14ac:dyDescent="0.2">
      <c r="A414" s="384">
        <v>53401</v>
      </c>
      <c r="B414" s="373" t="s">
        <v>1265</v>
      </c>
      <c r="C414" s="1101">
        <f>'[15]Input Sheet'!R937</f>
        <v>0</v>
      </c>
      <c r="D414" s="1060"/>
      <c r="E414" s="1069">
        <v>0</v>
      </c>
      <c r="F414" s="1069"/>
    </row>
    <row r="415" spans="1:13" x14ac:dyDescent="0.2">
      <c r="A415" s="384">
        <v>53402</v>
      </c>
      <c r="B415" s="373" t="s">
        <v>1266</v>
      </c>
      <c r="C415" s="1101">
        <f>'[15]Input Sheet'!R938</f>
        <v>0</v>
      </c>
      <c r="D415" s="1060"/>
      <c r="E415" s="1069">
        <v>3.6473213000000002</v>
      </c>
      <c r="F415" s="1069"/>
    </row>
    <row r="416" spans="1:13" x14ac:dyDescent="0.2">
      <c r="A416" s="337">
        <v>53403</v>
      </c>
      <c r="B416" s="373" t="s">
        <v>1267</v>
      </c>
      <c r="C416" s="1101">
        <f>'[15]Input Sheet'!R939</f>
        <v>0</v>
      </c>
      <c r="D416" s="1060"/>
      <c r="E416" s="1069">
        <v>0</v>
      </c>
      <c r="F416" s="1069"/>
    </row>
    <row r="417" spans="1:6" x14ac:dyDescent="0.2">
      <c r="A417" s="337">
        <v>53404</v>
      </c>
      <c r="B417" s="373" t="s">
        <v>1268</v>
      </c>
      <c r="C417" s="1101">
        <f>'[15]Input Sheet'!R940</f>
        <v>0</v>
      </c>
      <c r="D417" s="1060"/>
      <c r="E417" s="1069">
        <v>0</v>
      </c>
      <c r="F417" s="1069"/>
    </row>
    <row r="418" spans="1:6" x14ac:dyDescent="0.2">
      <c r="A418" s="337">
        <v>53405</v>
      </c>
      <c r="B418" s="373" t="s">
        <v>1269</v>
      </c>
      <c r="C418" s="1101">
        <f>'[15]Input Sheet'!R941</f>
        <v>0</v>
      </c>
      <c r="D418" s="1060"/>
      <c r="E418" s="1131">
        <v>0</v>
      </c>
      <c r="F418" s="1069"/>
    </row>
    <row r="419" spans="1:6" x14ac:dyDescent="0.2">
      <c r="A419" s="337">
        <v>53406</v>
      </c>
      <c r="B419" s="373" t="s">
        <v>1270</v>
      </c>
      <c r="C419" s="1101">
        <f>'[15]Input Sheet'!R942</f>
        <v>0</v>
      </c>
      <c r="D419" s="1060"/>
      <c r="E419" s="1131">
        <v>0</v>
      </c>
      <c r="F419" s="1069"/>
    </row>
    <row r="420" spans="1:6" x14ac:dyDescent="0.2">
      <c r="A420" s="337">
        <v>53407</v>
      </c>
      <c r="B420" s="373" t="s">
        <v>1271</v>
      </c>
      <c r="C420" s="1101">
        <f>'[15]Input Sheet'!R943</f>
        <v>0</v>
      </c>
      <c r="D420" s="1060"/>
      <c r="E420" s="1131">
        <v>0</v>
      </c>
      <c r="F420" s="1069"/>
    </row>
    <row r="421" spans="1:6" x14ac:dyDescent="0.2">
      <c r="A421" s="337">
        <v>53408</v>
      </c>
      <c r="B421" s="373" t="s">
        <v>1272</v>
      </c>
      <c r="C421" s="1101">
        <f>'[15]Input Sheet'!R944</f>
        <v>0</v>
      </c>
      <c r="D421" s="1060"/>
      <c r="E421" s="1131">
        <v>0</v>
      </c>
      <c r="F421" s="1069"/>
    </row>
    <row r="422" spans="1:6" x14ac:dyDescent="0.2">
      <c r="A422" s="337">
        <v>53409</v>
      </c>
      <c r="B422" s="373" t="s">
        <v>1273</v>
      </c>
      <c r="C422" s="1101">
        <f>'[15]Input Sheet'!R945</f>
        <v>0</v>
      </c>
      <c r="D422" s="1060"/>
      <c r="E422" s="1131">
        <v>0</v>
      </c>
      <c r="F422" s="1069"/>
    </row>
    <row r="423" spans="1:6" x14ac:dyDescent="0.2">
      <c r="A423" s="337">
        <v>53410</v>
      </c>
      <c r="B423" s="373" t="s">
        <v>1274</v>
      </c>
      <c r="C423" s="1101">
        <f>'[15]Input Sheet'!R946</f>
        <v>0</v>
      </c>
      <c r="D423" s="1060"/>
      <c r="E423" s="1131">
        <v>0</v>
      </c>
      <c r="F423" s="1069"/>
    </row>
    <row r="424" spans="1:6" x14ac:dyDescent="0.2">
      <c r="A424" s="337">
        <v>53411</v>
      </c>
      <c r="B424" s="373" t="s">
        <v>1275</v>
      </c>
      <c r="C424" s="1101">
        <f>'[15]Input Sheet'!R947</f>
        <v>0</v>
      </c>
      <c r="D424" s="1060"/>
      <c r="E424" s="1131">
        <v>0</v>
      </c>
      <c r="F424" s="1069"/>
    </row>
    <row r="425" spans="1:6" x14ac:dyDescent="0.2">
      <c r="A425" s="337">
        <v>53412</v>
      </c>
      <c r="B425" s="373" t="s">
        <v>1276</v>
      </c>
      <c r="C425" s="1101">
        <f>'[15]Input Sheet'!R948</f>
        <v>0</v>
      </c>
      <c r="D425" s="1060"/>
      <c r="E425" s="1131">
        <v>0</v>
      </c>
    </row>
    <row r="426" spans="1:6" x14ac:dyDescent="0.2">
      <c r="A426" s="384">
        <v>53413</v>
      </c>
      <c r="B426" s="373" t="s">
        <v>1277</v>
      </c>
      <c r="C426" s="1101">
        <f>'[15]Input Sheet'!R949</f>
        <v>0</v>
      </c>
      <c r="D426" s="1060"/>
      <c r="E426" s="1131">
        <v>0</v>
      </c>
    </row>
    <row r="427" spans="1:6" x14ac:dyDescent="0.2">
      <c r="A427" s="384">
        <v>53415</v>
      </c>
      <c r="B427" s="373" t="s">
        <v>1278</v>
      </c>
      <c r="C427" s="1101">
        <f>'[15]Input Sheet'!R951</f>
        <v>0</v>
      </c>
      <c r="D427" s="1060"/>
      <c r="E427" s="1131">
        <v>0</v>
      </c>
    </row>
    <row r="428" spans="1:6" ht="25.5" x14ac:dyDescent="0.2">
      <c r="A428" s="384">
        <v>53417</v>
      </c>
      <c r="B428" s="375" t="s">
        <v>1279</v>
      </c>
      <c r="C428" s="1101">
        <f>'[15]Input Sheet'!R953</f>
        <v>0</v>
      </c>
      <c r="D428" s="1060"/>
      <c r="E428" s="1131">
        <v>0</v>
      </c>
    </row>
    <row r="429" spans="1:6" ht="25.5" x14ac:dyDescent="0.2">
      <c r="A429" s="384">
        <v>53422</v>
      </c>
      <c r="B429" s="375" t="s">
        <v>1280</v>
      </c>
      <c r="C429" s="1101">
        <f>'[15]Input Sheet'!R958</f>
        <v>1066.6391994000001</v>
      </c>
      <c r="D429" s="1060"/>
      <c r="E429" s="1131">
        <v>1238.9903277999999</v>
      </c>
    </row>
    <row r="430" spans="1:6" x14ac:dyDescent="0.2">
      <c r="A430" s="384">
        <f>'[15]Input Sheet'!D959</f>
        <v>53423</v>
      </c>
      <c r="B430" s="373" t="str">
        <f>'[15]Input Sheet'!E959</f>
        <v>REC LT-16770(Project-Gare Palma)</v>
      </c>
      <c r="C430" s="1101">
        <f>'[15]Input Sheet'!R959</f>
        <v>355.7161997</v>
      </c>
      <c r="D430" s="1060"/>
      <c r="E430" s="1131">
        <v>306.141413</v>
      </c>
    </row>
    <row r="431" spans="1:6" x14ac:dyDescent="0.2">
      <c r="A431" s="384">
        <f>'[15]Input Sheet'!D960</f>
        <v>53424</v>
      </c>
      <c r="B431" s="373" t="str">
        <f>'[15]Input Sheet'!E960</f>
        <v>REC LT-15643(Capex-Chandrapur TPS)</v>
      </c>
      <c r="C431" s="1101">
        <f>'[15]Input Sheet'!R960</f>
        <v>2.5439002999999998</v>
      </c>
      <c r="D431" s="1060"/>
    </row>
    <row r="432" spans="1:6" x14ac:dyDescent="0.2">
      <c r="A432" s="384">
        <f>'[15]Input Sheet'!D961</f>
        <v>53426</v>
      </c>
      <c r="B432" s="373" t="str">
        <f>'[15]Input Sheet'!E961</f>
        <v>REC LT-15654(Capex-Chandrapur TPS)</v>
      </c>
      <c r="C432" s="1101">
        <f>'[15]Input Sheet'!R961</f>
        <v>14.656000000000001</v>
      </c>
      <c r="D432" s="1060"/>
      <c r="E432" s="1131">
        <v>8.6875961000000004</v>
      </c>
    </row>
    <row r="433" spans="1:6" x14ac:dyDescent="0.2">
      <c r="A433" s="384">
        <f>'[15]Input Sheet'!D962</f>
        <v>53428</v>
      </c>
      <c r="B433" s="373" t="str">
        <f>'[15]Input Sheet'!E962</f>
        <v>REC LT-15656(Capex-Paras TPS)</v>
      </c>
      <c r="C433" s="1101">
        <f>'[15]Input Sheet'!R962</f>
        <v>2.4887771999999999</v>
      </c>
      <c r="D433" s="1060"/>
      <c r="E433" s="1131">
        <v>2.2200000000000002</v>
      </c>
    </row>
    <row r="434" spans="1:6" x14ac:dyDescent="0.2">
      <c r="A434" s="384">
        <f>'[15]Input Sheet'!D963</f>
        <v>53430</v>
      </c>
      <c r="B434" s="373" t="str">
        <f>'[15]Input Sheet'!E963</f>
        <v>REC LT-16052(Capex-Chandrapur TPS)</v>
      </c>
      <c r="C434" s="1101">
        <f>'[15]Input Sheet'!R963</f>
        <v>30.128</v>
      </c>
      <c r="D434" s="1060"/>
    </row>
    <row r="435" spans="1:6" x14ac:dyDescent="0.2">
      <c r="A435" s="384">
        <f>'[15]Input Sheet'!D964</f>
        <v>53435</v>
      </c>
      <c r="B435" s="373" t="str">
        <f>'[15]Input Sheet'!E964</f>
        <v>REC LT-16057(Capex-Koradi TPS)</v>
      </c>
      <c r="C435" s="1101">
        <f>'[15]Input Sheet'!R964</f>
        <v>16.017539800000002</v>
      </c>
      <c r="D435" s="1060"/>
    </row>
    <row r="436" spans="1:6" x14ac:dyDescent="0.2">
      <c r="A436" s="384"/>
      <c r="B436" s="375"/>
      <c r="C436" s="1076">
        <f>SUM(C414:C435)</f>
        <v>1488.1896163999997</v>
      </c>
      <c r="D436" s="1060"/>
      <c r="E436" s="1076">
        <f>SUM(E414:E435)</f>
        <v>1559.6866582</v>
      </c>
    </row>
    <row r="437" spans="1:6" x14ac:dyDescent="0.2">
      <c r="A437" s="384"/>
      <c r="B437" s="403" t="s">
        <v>1264</v>
      </c>
      <c r="C437" s="1132">
        <f>'[15]LT Final'!E14+'[15]LT Final'!E15</f>
        <v>172.4</v>
      </c>
      <c r="D437" s="1060"/>
      <c r="E437" s="1131">
        <v>176.04732129999999</v>
      </c>
    </row>
    <row r="438" spans="1:6" x14ac:dyDescent="0.2">
      <c r="A438" s="405"/>
      <c r="B438" s="406"/>
      <c r="C438" s="1133">
        <f>+C436-C437</f>
        <v>1315.7896163999997</v>
      </c>
      <c r="D438" s="1133">
        <f>+C438</f>
        <v>1315.7896163999997</v>
      </c>
      <c r="E438" s="1133">
        <f>+E436-E437</f>
        <v>1383.6393369</v>
      </c>
      <c r="F438" s="1133">
        <f>+E438</f>
        <v>1383.6393369</v>
      </c>
    </row>
    <row r="439" spans="1:6" x14ac:dyDescent="0.2">
      <c r="B439" s="407"/>
      <c r="C439" s="1134"/>
      <c r="D439" s="1134"/>
    </row>
    <row r="440" spans="1:6" x14ac:dyDescent="0.2">
      <c r="A440" s="408"/>
      <c r="B440" s="409" t="s">
        <v>900</v>
      </c>
      <c r="C440" s="1135"/>
      <c r="D440" s="1079"/>
    </row>
    <row r="441" spans="1:6" x14ac:dyDescent="0.2">
      <c r="A441" s="384"/>
      <c r="B441" s="358" t="s">
        <v>898</v>
      </c>
      <c r="C441" s="1083"/>
      <c r="D441" s="1136">
        <f>E1264</f>
        <v>0</v>
      </c>
    </row>
    <row r="442" spans="1:6" x14ac:dyDescent="0.2">
      <c r="A442" s="384"/>
      <c r="B442" s="358" t="s">
        <v>901</v>
      </c>
      <c r="C442" s="1083"/>
      <c r="D442" s="1060"/>
    </row>
    <row r="443" spans="1:6" x14ac:dyDescent="0.2">
      <c r="A443" s="384">
        <v>54200</v>
      </c>
      <c r="B443" s="358" t="s">
        <v>1281</v>
      </c>
      <c r="C443" s="1083">
        <f>'[15]Input Sheet'!R1033</f>
        <v>0</v>
      </c>
      <c r="D443" s="1060"/>
      <c r="E443" s="1131">
        <v>0</v>
      </c>
    </row>
    <row r="444" spans="1:6" x14ac:dyDescent="0.2">
      <c r="A444" s="384">
        <v>54201</v>
      </c>
      <c r="B444" s="358" t="s">
        <v>1282</v>
      </c>
      <c r="C444" s="1083">
        <f>'[15]Input Sheet'!R1034</f>
        <v>0</v>
      </c>
      <c r="D444" s="1060"/>
      <c r="E444" s="1131">
        <v>0</v>
      </c>
    </row>
    <row r="445" spans="1:6" x14ac:dyDescent="0.2">
      <c r="A445" s="384">
        <v>54202</v>
      </c>
      <c r="B445" s="324" t="s">
        <v>1283</v>
      </c>
      <c r="C445" s="1083">
        <f>'[15]Input Sheet'!R1035</f>
        <v>0</v>
      </c>
      <c r="D445" s="1060"/>
      <c r="E445" s="1131">
        <v>0</v>
      </c>
    </row>
    <row r="446" spans="1:6" x14ac:dyDescent="0.2">
      <c r="A446" s="384"/>
      <c r="B446" s="324"/>
      <c r="C446" s="1079">
        <f>SUM(C443:C445)</f>
        <v>0</v>
      </c>
      <c r="D446" s="1079">
        <f>+C446</f>
        <v>0</v>
      </c>
      <c r="E446" s="1079">
        <f>SUM(E443:E445)</f>
        <v>0</v>
      </c>
      <c r="F446" s="1079">
        <f>+E446</f>
        <v>0</v>
      </c>
    </row>
    <row r="447" spans="1:6" x14ac:dyDescent="0.2">
      <c r="A447" s="384">
        <v>53418</v>
      </c>
      <c r="B447" s="358" t="s">
        <v>902</v>
      </c>
      <c r="C447" s="1055">
        <f>'[15]Input Sheet'!R954</f>
        <v>270.9090928</v>
      </c>
      <c r="D447" s="1060"/>
      <c r="E447" s="1131">
        <v>264.06580250000002</v>
      </c>
    </row>
    <row r="448" spans="1:6" x14ac:dyDescent="0.2">
      <c r="A448" s="384"/>
      <c r="B448" s="403" t="s">
        <v>1264</v>
      </c>
      <c r="C448" s="1083">
        <f>'[15]LT Final'!E24</f>
        <v>15.5035446</v>
      </c>
      <c r="D448" s="1060"/>
      <c r="E448" s="1131">
        <v>14.7634606</v>
      </c>
    </row>
    <row r="449" spans="1:6" x14ac:dyDescent="0.2">
      <c r="A449" s="384"/>
      <c r="B449" s="358"/>
      <c r="C449" s="1137">
        <f>+C447-C448</f>
        <v>255.4055482</v>
      </c>
      <c r="D449" s="1079">
        <f>+C449</f>
        <v>255.4055482</v>
      </c>
      <c r="E449" s="1137">
        <f>+E447-E448</f>
        <v>249.30234190000002</v>
      </c>
      <c r="F449" s="1079">
        <f>+E449</f>
        <v>249.30234190000002</v>
      </c>
    </row>
    <row r="450" spans="1:6" x14ac:dyDescent="0.2">
      <c r="A450" s="384"/>
      <c r="B450" s="358"/>
      <c r="C450" s="1083"/>
      <c r="D450" s="1060"/>
    </row>
    <row r="451" spans="1:6" ht="13.5" customHeight="1" x14ac:dyDescent="0.2">
      <c r="A451" s="384">
        <v>53801</v>
      </c>
      <c r="B451" s="402" t="s">
        <v>1284</v>
      </c>
      <c r="C451" s="1093">
        <f>'[15]Input Sheet'!R1032</f>
        <v>160.77756410000001</v>
      </c>
      <c r="D451" s="1060"/>
      <c r="E451" s="1131">
        <v>169.86193449999999</v>
      </c>
    </row>
    <row r="452" spans="1:6" ht="29.25" customHeight="1" x14ac:dyDescent="0.2">
      <c r="A452" s="384"/>
      <c r="B452" s="403" t="s">
        <v>1264</v>
      </c>
      <c r="C452" s="1093">
        <f>'[15]LT Final'!E34</f>
        <v>4.2996131999999996</v>
      </c>
      <c r="D452" s="1060"/>
      <c r="E452" s="1131">
        <v>4.2996131999999996</v>
      </c>
    </row>
    <row r="453" spans="1:6" x14ac:dyDescent="0.2">
      <c r="A453" s="384"/>
      <c r="B453" s="324"/>
      <c r="C453" s="1079">
        <f>+C451-C452</f>
        <v>156.4779509</v>
      </c>
      <c r="D453" s="1079">
        <f>+C453</f>
        <v>156.4779509</v>
      </c>
      <c r="E453" s="1079">
        <f>+E451-E452</f>
        <v>165.56232129999998</v>
      </c>
      <c r="F453" s="1079">
        <f>+E453</f>
        <v>165.56232129999998</v>
      </c>
    </row>
    <row r="454" spans="1:6" x14ac:dyDescent="0.2">
      <c r="A454" s="384"/>
      <c r="B454" s="357"/>
      <c r="C454" s="1082"/>
      <c r="D454" s="1060"/>
    </row>
    <row r="455" spans="1:6" x14ac:dyDescent="0.2">
      <c r="A455" s="384"/>
      <c r="B455" s="358" t="s">
        <v>904</v>
      </c>
      <c r="C455" s="1083"/>
      <c r="D455" s="1060"/>
    </row>
    <row r="456" spans="1:6" ht="25.5" x14ac:dyDescent="0.2">
      <c r="A456" s="384">
        <v>53416</v>
      </c>
      <c r="B456" s="375" t="s">
        <v>1285</v>
      </c>
      <c r="C456" s="1055">
        <f>'[15]Input Sheet'!R952</f>
        <v>110.3069577</v>
      </c>
      <c r="D456" s="1060"/>
      <c r="E456" s="1131">
        <v>208.4326758</v>
      </c>
    </row>
    <row r="457" spans="1:6" ht="25.5" x14ac:dyDescent="0.2">
      <c r="A457" s="384">
        <v>53421</v>
      </c>
      <c r="B457" s="375" t="s">
        <v>1286</v>
      </c>
      <c r="C457" s="1055">
        <f>'[15]Input Sheet'!R957</f>
        <v>13.224503858</v>
      </c>
      <c r="D457" s="1060"/>
      <c r="E457" s="1131">
        <v>-4.1999999999999999E-8</v>
      </c>
    </row>
    <row r="458" spans="1:6" x14ac:dyDescent="0.2">
      <c r="A458" s="384"/>
      <c r="B458" s="375"/>
      <c r="C458" s="1076">
        <f>SUM(C456:C457)</f>
        <v>123.531461558</v>
      </c>
      <c r="D458" s="1060"/>
      <c r="E458" s="1076">
        <f>SUM(E456:E457)</f>
        <v>208.43267575799999</v>
      </c>
    </row>
    <row r="459" spans="1:6" x14ac:dyDescent="0.2">
      <c r="A459" s="384"/>
      <c r="B459" s="403" t="s">
        <v>1264</v>
      </c>
      <c r="C459" s="1082">
        <f>'[15]LT Final'!E23</f>
        <v>123.531461558</v>
      </c>
      <c r="D459" s="1060"/>
      <c r="E459" s="1131">
        <v>102.80868839999999</v>
      </c>
    </row>
    <row r="460" spans="1:6" x14ac:dyDescent="0.2">
      <c r="A460" s="384"/>
      <c r="B460" s="403"/>
      <c r="C460" s="1138">
        <f>+C458-C459</f>
        <v>0</v>
      </c>
      <c r="D460" s="1139">
        <f>+C460</f>
        <v>0</v>
      </c>
      <c r="E460" s="1138">
        <f>+E458-E459</f>
        <v>105.62398735799999</v>
      </c>
      <c r="F460" s="1079">
        <f>+E460</f>
        <v>105.62398735799999</v>
      </c>
    </row>
    <row r="461" spans="1:6" x14ac:dyDescent="0.2">
      <c r="A461" s="385">
        <v>58221</v>
      </c>
      <c r="B461" s="343" t="s">
        <v>913</v>
      </c>
      <c r="C461" s="1140"/>
      <c r="D461" s="1055">
        <f>+'[15]Input Sheet'!M1048</f>
        <v>4.0669728000000003</v>
      </c>
      <c r="F461" s="1055"/>
    </row>
    <row r="462" spans="1:6" ht="25.5" x14ac:dyDescent="0.2">
      <c r="A462" s="384">
        <v>53419</v>
      </c>
      <c r="B462" s="359" t="s">
        <v>1287</v>
      </c>
      <c r="C462" s="1141">
        <f>+'[15]Input Sheet'!R955</f>
        <v>0</v>
      </c>
      <c r="D462" s="1134"/>
    </row>
    <row r="463" spans="1:6" ht="25.5" x14ac:dyDescent="0.2">
      <c r="A463" s="384">
        <v>53420</v>
      </c>
      <c r="B463" s="359" t="s">
        <v>1288</v>
      </c>
      <c r="C463" s="1141">
        <f>+'[15]Input Sheet'!R956</f>
        <v>0</v>
      </c>
      <c r="D463" s="1134"/>
    </row>
    <row r="464" spans="1:6" x14ac:dyDescent="0.2">
      <c r="A464" s="384"/>
      <c r="B464" s="403" t="s">
        <v>1264</v>
      </c>
      <c r="C464" s="1141"/>
      <c r="D464" s="1134"/>
    </row>
    <row r="465" spans="1:13" x14ac:dyDescent="0.2">
      <c r="A465" s="384"/>
      <c r="B465" s="403"/>
      <c r="C465" s="1141"/>
      <c r="D465" s="1142">
        <f>+SUM(C462:C463)-C464</f>
        <v>0</v>
      </c>
    </row>
    <row r="466" spans="1:13" ht="13.5" thickBot="1" x14ac:dyDescent="0.25">
      <c r="A466" s="384"/>
      <c r="B466" s="410" t="s">
        <v>92</v>
      </c>
      <c r="C466" s="1143"/>
      <c r="D466" s="1144">
        <f>SUM(D412:D465)</f>
        <v>24687.339384897426</v>
      </c>
      <c r="E466" s="411">
        <f>E460+E453+E449+E446+E438+E412</f>
        <v>22211.191210778834</v>
      </c>
      <c r="F466" s="411">
        <f>F460+F453+F449+F446+F438+F412</f>
        <v>22211.191210778834</v>
      </c>
    </row>
    <row r="467" spans="1:13" ht="13.5" thickTop="1" x14ac:dyDescent="0.2">
      <c r="A467" s="384"/>
      <c r="B467" s="344"/>
      <c r="C467" s="1111"/>
      <c r="D467" s="1055"/>
    </row>
    <row r="468" spans="1:13" x14ac:dyDescent="0.2">
      <c r="A468" s="400" t="s">
        <v>1289</v>
      </c>
      <c r="B468" s="374" t="s">
        <v>907</v>
      </c>
      <c r="C468" s="1111"/>
      <c r="D468" s="1055"/>
    </row>
    <row r="469" spans="1:13" x14ac:dyDescent="0.2">
      <c r="A469" s="384">
        <f>'[15]Input Sheet'!D654</f>
        <v>46434</v>
      </c>
      <c r="B469" s="404" t="s">
        <v>908</v>
      </c>
      <c r="C469" s="1111">
        <f>'[15]Input Sheet'!R654</f>
        <v>2926.5594399255865</v>
      </c>
      <c r="D469" s="1055"/>
      <c r="E469" s="1131">
        <v>3069.8995987232825</v>
      </c>
    </row>
    <row r="470" spans="1:13" ht="13.5" thickBot="1" x14ac:dyDescent="0.25">
      <c r="A470" s="384"/>
      <c r="B470" s="412"/>
      <c r="C470" s="1145">
        <f>C469</f>
        <v>2926.5594399255865</v>
      </c>
      <c r="D470" s="1091">
        <f>C469</f>
        <v>2926.5594399255865</v>
      </c>
      <c r="F470" s="1091">
        <f>E469</f>
        <v>3069.8995987232825</v>
      </c>
    </row>
    <row r="471" spans="1:13" ht="13.5" thickTop="1" x14ac:dyDescent="0.2">
      <c r="A471" s="384"/>
      <c r="B471" s="344"/>
      <c r="C471" s="1111"/>
      <c r="D471" s="1055"/>
    </row>
    <row r="472" spans="1:13" x14ac:dyDescent="0.2">
      <c r="A472" s="400" t="s">
        <v>34</v>
      </c>
      <c r="B472" s="374" t="s">
        <v>909</v>
      </c>
      <c r="C472" s="1102"/>
      <c r="D472" s="1055"/>
      <c r="F472" s="1098"/>
      <c r="M472" s="346"/>
    </row>
    <row r="473" spans="1:13" x14ac:dyDescent="0.2">
      <c r="A473" s="384">
        <v>44110</v>
      </c>
      <c r="B473" s="363" t="s">
        <v>401</v>
      </c>
      <c r="C473" s="1093"/>
      <c r="D473" s="1055">
        <f>'[15]Input Sheet'!R623</f>
        <v>558.20255659999998</v>
      </c>
      <c r="F473" s="1098">
        <v>539.47256479999999</v>
      </c>
    </row>
    <row r="474" spans="1:13" x14ac:dyDescent="0.2">
      <c r="A474" s="384">
        <v>44340</v>
      </c>
      <c r="B474" s="363" t="s">
        <v>910</v>
      </c>
      <c r="C474" s="1093"/>
      <c r="D474" s="1055">
        <f>'[15]Input Sheet'!R625</f>
        <v>595.24605069999996</v>
      </c>
      <c r="F474" s="1098">
        <v>572.06474839999998</v>
      </c>
    </row>
    <row r="475" spans="1:13" ht="13.5" thickBot="1" x14ac:dyDescent="0.25">
      <c r="A475" s="384"/>
      <c r="B475" s="412"/>
      <c r="C475" s="1145"/>
      <c r="D475" s="1091">
        <f>SUM(D473:D474)</f>
        <v>1153.4486072999998</v>
      </c>
      <c r="F475" s="1091">
        <f>SUM(F473:F474)</f>
        <v>1111.5373132</v>
      </c>
    </row>
    <row r="476" spans="1:13" ht="13.5" thickTop="1" x14ac:dyDescent="0.2">
      <c r="A476" s="384"/>
      <c r="B476" s="324"/>
      <c r="C476" s="1055"/>
      <c r="D476" s="1055"/>
      <c r="F476" s="1098"/>
    </row>
    <row r="477" spans="1:13" ht="12.75" customHeight="1" x14ac:dyDescent="0.2">
      <c r="A477" s="384"/>
      <c r="B477" s="324"/>
      <c r="C477" s="1055"/>
      <c r="D477" s="1055"/>
      <c r="F477" s="1098"/>
    </row>
    <row r="478" spans="1:13" x14ac:dyDescent="0.2">
      <c r="A478" s="400" t="s">
        <v>1290</v>
      </c>
      <c r="B478" s="374" t="s">
        <v>911</v>
      </c>
      <c r="C478" s="1102"/>
      <c r="D478" s="1060"/>
      <c r="E478" s="1146"/>
      <c r="F478" s="1098"/>
      <c r="G478" s="346"/>
      <c r="H478" s="346"/>
      <c r="I478" s="346"/>
      <c r="K478" s="346"/>
      <c r="L478" s="346"/>
      <c r="M478" s="346"/>
    </row>
    <row r="479" spans="1:13" x14ac:dyDescent="0.2">
      <c r="A479" s="384">
        <v>55101</v>
      </c>
      <c r="B479" s="324" t="s">
        <v>1291</v>
      </c>
      <c r="C479" s="1055">
        <f>+'[15]Input Sheet'!R1037</f>
        <v>0</v>
      </c>
      <c r="D479" s="1055"/>
      <c r="E479" s="1131">
        <v>0</v>
      </c>
      <c r="F479" s="1098"/>
    </row>
    <row r="480" spans="1:13" x14ac:dyDescent="0.2">
      <c r="A480" s="384">
        <v>55102</v>
      </c>
      <c r="B480" s="324" t="s">
        <v>1292</v>
      </c>
      <c r="C480" s="1055">
        <f>+'[15]Input Sheet'!R1038</f>
        <v>0.25</v>
      </c>
      <c r="D480" s="1055"/>
      <c r="E480" s="1131">
        <v>0</v>
      </c>
      <c r="F480" s="1098"/>
    </row>
    <row r="481" spans="1:13" x14ac:dyDescent="0.2">
      <c r="A481" s="384">
        <v>55103</v>
      </c>
      <c r="B481" s="343" t="s">
        <v>1293</v>
      </c>
      <c r="C481" s="1105">
        <f>+'[15]Input Sheet'!R1039</f>
        <v>0</v>
      </c>
      <c r="D481" s="1055"/>
      <c r="E481" s="1131">
        <v>0</v>
      </c>
      <c r="F481" s="1098"/>
    </row>
    <row r="482" spans="1:13" x14ac:dyDescent="0.2">
      <c r="A482" s="384">
        <v>55104</v>
      </c>
      <c r="B482" s="343" t="s">
        <v>1294</v>
      </c>
      <c r="C482" s="1105">
        <f>+'[15]Input Sheet'!R1040</f>
        <v>0</v>
      </c>
      <c r="D482" s="1055"/>
      <c r="E482" s="1131">
        <v>0</v>
      </c>
    </row>
    <row r="483" spans="1:13" x14ac:dyDescent="0.2">
      <c r="A483" s="385">
        <v>55105</v>
      </c>
      <c r="B483" s="343" t="s">
        <v>1295</v>
      </c>
      <c r="C483" s="1140">
        <f>+'[15]Input Sheet'!R1041</f>
        <v>0</v>
      </c>
      <c r="D483" s="1055"/>
      <c r="E483" s="1131">
        <v>0</v>
      </c>
      <c r="F483" s="1055"/>
    </row>
    <row r="484" spans="1:13" x14ac:dyDescent="0.2">
      <c r="A484" s="385">
        <v>55106</v>
      </c>
      <c r="B484" s="343" t="s">
        <v>912</v>
      </c>
      <c r="C484" s="1140">
        <f>+'[15]Input Sheet'!R1042</f>
        <v>364.96133279999998</v>
      </c>
      <c r="D484" s="1055"/>
      <c r="E484" s="1131">
        <v>0</v>
      </c>
      <c r="F484" s="1055"/>
    </row>
    <row r="485" spans="1:13" x14ac:dyDescent="0.2">
      <c r="A485" s="385">
        <v>99116</v>
      </c>
      <c r="B485" s="343" t="s">
        <v>1296</v>
      </c>
      <c r="C485" s="1140">
        <f>'[15]Input Sheet'!R1359</f>
        <v>63.681047399999997</v>
      </c>
      <c r="D485" s="1055"/>
      <c r="E485" s="1131">
        <v>63.681047399999997</v>
      </c>
      <c r="F485" s="1055"/>
    </row>
    <row r="486" spans="1:13" x14ac:dyDescent="0.2">
      <c r="A486" s="385">
        <v>99117</v>
      </c>
      <c r="B486" s="343" t="s">
        <v>1297</v>
      </c>
      <c r="C486" s="1140">
        <f>'[15]Input Sheet'!R1360</f>
        <v>93.521071399999997</v>
      </c>
      <c r="D486" s="1055"/>
      <c r="E486" s="1131">
        <v>93.521071399999997</v>
      </c>
      <c r="F486" s="1055"/>
    </row>
    <row r="487" spans="1:13" x14ac:dyDescent="0.2">
      <c r="A487" s="385">
        <v>99118</v>
      </c>
      <c r="B487" s="343" t="s">
        <v>1298</v>
      </c>
      <c r="C487" s="1140">
        <f>'[15]Input Sheet'!R1361</f>
        <v>132.26029053900001</v>
      </c>
      <c r="D487" s="1055">
        <f>SUM(C479:C487)</f>
        <v>654.67374213900007</v>
      </c>
      <c r="E487" s="1131">
        <v>132.26029053900001</v>
      </c>
      <c r="F487" s="1055">
        <f>SUM(E479:E487)</f>
        <v>289.46240933900003</v>
      </c>
    </row>
    <row r="488" spans="1:13" x14ac:dyDescent="0.2">
      <c r="A488" s="384"/>
      <c r="B488" s="404"/>
      <c r="C488" s="1140"/>
      <c r="D488" s="1055"/>
      <c r="F488" s="1055"/>
    </row>
    <row r="489" spans="1:13" x14ac:dyDescent="0.2">
      <c r="A489" s="337"/>
      <c r="B489" s="413" t="s">
        <v>92</v>
      </c>
      <c r="C489" s="1147">
        <f>SUM(C479:C488)</f>
        <v>654.67374213900007</v>
      </c>
      <c r="D489" s="1147">
        <f>SUM(D479:D488)</f>
        <v>654.67374213900007</v>
      </c>
      <c r="E489" s="1147">
        <f>SUM(E479:E482)</f>
        <v>0</v>
      </c>
      <c r="F489" s="1147">
        <f>SUM(F479:F488)</f>
        <v>289.46240933900003</v>
      </c>
    </row>
    <row r="490" spans="1:13" x14ac:dyDescent="0.2">
      <c r="A490" s="384"/>
      <c r="B490" s="324"/>
      <c r="C490" s="1055"/>
      <c r="D490" s="1055"/>
    </row>
    <row r="491" spans="1:13" x14ac:dyDescent="0.2">
      <c r="A491" s="384"/>
      <c r="B491" s="324"/>
      <c r="C491" s="1055"/>
      <c r="D491" s="1055"/>
    </row>
    <row r="492" spans="1:13" x14ac:dyDescent="0.2">
      <c r="A492" s="400" t="s">
        <v>1299</v>
      </c>
      <c r="B492" s="374" t="s">
        <v>915</v>
      </c>
      <c r="C492" s="1102"/>
      <c r="D492" s="1060"/>
      <c r="L492" s="346"/>
      <c r="M492" s="346"/>
    </row>
    <row r="493" spans="1:13" x14ac:dyDescent="0.2">
      <c r="A493" s="384"/>
      <c r="B493" s="378" t="s">
        <v>1300</v>
      </c>
      <c r="C493" s="1107"/>
      <c r="D493" s="1055"/>
    </row>
    <row r="494" spans="1:13" x14ac:dyDescent="0.2">
      <c r="A494" s="384"/>
      <c r="B494" s="378" t="s">
        <v>897</v>
      </c>
      <c r="C494" s="1107"/>
      <c r="D494" s="1055"/>
      <c r="J494" s="346"/>
    </row>
    <row r="495" spans="1:13" x14ac:dyDescent="0.2">
      <c r="A495" s="384"/>
      <c r="B495" s="378" t="s">
        <v>1301</v>
      </c>
      <c r="C495" s="1107"/>
      <c r="D495" s="1055"/>
      <c r="J495" s="414"/>
    </row>
    <row r="496" spans="1:13" x14ac:dyDescent="0.2">
      <c r="A496" s="384"/>
      <c r="B496" s="363" t="s">
        <v>1302</v>
      </c>
      <c r="C496" s="1093"/>
      <c r="D496" s="1055"/>
      <c r="J496" s="414"/>
    </row>
    <row r="497" spans="1:10" x14ac:dyDescent="0.2">
      <c r="A497" s="384">
        <v>50201</v>
      </c>
      <c r="B497" s="373" t="s">
        <v>1303</v>
      </c>
      <c r="C497" s="1101">
        <f>+'[15]Input Sheet'!Q736</f>
        <v>2603.2399999999998</v>
      </c>
      <c r="D497" s="1055"/>
      <c r="E497" s="1131">
        <v>2391.13</v>
      </c>
      <c r="J497" s="414"/>
    </row>
    <row r="498" spans="1:10" x14ac:dyDescent="0.2">
      <c r="A498" s="384">
        <v>50202</v>
      </c>
      <c r="B498" s="373" t="s">
        <v>1304</v>
      </c>
      <c r="C498" s="1101">
        <f>+'[15]Input Sheet'!Q737</f>
        <v>0</v>
      </c>
      <c r="D498" s="1055"/>
      <c r="E498" s="1131">
        <v>738.08</v>
      </c>
      <c r="J498" s="414"/>
    </row>
    <row r="499" spans="1:10" x14ac:dyDescent="0.2">
      <c r="A499" s="384">
        <v>50203</v>
      </c>
      <c r="B499" s="373" t="s">
        <v>1305</v>
      </c>
      <c r="C499" s="1101">
        <f>+'[15]Input Sheet'!Q738</f>
        <v>2931.8</v>
      </c>
      <c r="D499" s="1055"/>
      <c r="E499" s="1131">
        <v>2383.4899999999998</v>
      </c>
      <c r="J499" s="414"/>
    </row>
    <row r="500" spans="1:10" x14ac:dyDescent="0.2">
      <c r="A500" s="384">
        <v>50204</v>
      </c>
      <c r="B500" s="373" t="s">
        <v>1306</v>
      </c>
      <c r="C500" s="1101">
        <f>+'[15]Input Sheet'!Q739</f>
        <v>908.99978729999998</v>
      </c>
      <c r="D500" s="1055"/>
      <c r="E500" s="1131">
        <v>908.99975859999995</v>
      </c>
      <c r="J500" s="414"/>
    </row>
    <row r="501" spans="1:10" x14ac:dyDescent="0.2">
      <c r="A501" s="384">
        <v>50205</v>
      </c>
      <c r="B501" s="373" t="s">
        <v>1307</v>
      </c>
      <c r="C501" s="1101">
        <f>+'[15]Input Sheet'!Q740</f>
        <v>340.47577946300004</v>
      </c>
      <c r="D501" s="1055"/>
      <c r="E501" s="1131">
        <v>342.46788147199999</v>
      </c>
      <c r="J501" s="163"/>
    </row>
    <row r="502" spans="1:10" x14ac:dyDescent="0.2">
      <c r="A502" s="384">
        <v>50206</v>
      </c>
      <c r="B502" s="373" t="s">
        <v>1308</v>
      </c>
      <c r="C502" s="1101">
        <f>+'[15]Input Sheet'!Q741</f>
        <v>1036.9997295000001</v>
      </c>
      <c r="D502" s="1055"/>
      <c r="E502" s="1131">
        <v>1036.8098093999999</v>
      </c>
      <c r="J502" s="163"/>
    </row>
    <row r="503" spans="1:10" x14ac:dyDescent="0.2">
      <c r="A503" s="384">
        <v>51501</v>
      </c>
      <c r="B503" s="373" t="s">
        <v>1309</v>
      </c>
      <c r="C503" s="1101">
        <f>+'[15]Input Sheet'!Q750</f>
        <v>0</v>
      </c>
      <c r="D503" s="1055"/>
      <c r="E503" s="1131">
        <v>0</v>
      </c>
      <c r="J503" s="163"/>
    </row>
    <row r="504" spans="1:10" x14ac:dyDescent="0.2">
      <c r="A504" s="337">
        <v>51506</v>
      </c>
      <c r="B504" s="373" t="s">
        <v>1310</v>
      </c>
      <c r="C504" s="1101">
        <f>+'[15]Input Sheet'!Q755</f>
        <v>0</v>
      </c>
      <c r="D504" s="1055"/>
      <c r="E504" s="1131">
        <v>0</v>
      </c>
      <c r="J504" s="163"/>
    </row>
    <row r="505" spans="1:10" x14ac:dyDescent="0.2">
      <c r="A505" s="384">
        <v>24021</v>
      </c>
      <c r="B505" s="373" t="s">
        <v>1311</v>
      </c>
      <c r="C505" s="1101">
        <f>+'[15]Input Sheet'!Q141</f>
        <v>-3.8269318969999997</v>
      </c>
      <c r="D505" s="1055"/>
      <c r="E505" s="1131">
        <v>0.48937720300000004</v>
      </c>
      <c r="J505" s="163"/>
    </row>
    <row r="506" spans="1:10" x14ac:dyDescent="0.2">
      <c r="A506" s="384">
        <v>24022</v>
      </c>
      <c r="B506" s="373" t="s">
        <v>1312</v>
      </c>
      <c r="C506" s="1101">
        <f>+'[15]Input Sheet'!Q142</f>
        <v>3.8184885950000003</v>
      </c>
      <c r="D506" s="1055"/>
      <c r="E506" s="1131">
        <v>-0.70224115799999998</v>
      </c>
      <c r="J506" s="163"/>
    </row>
    <row r="507" spans="1:10" x14ac:dyDescent="0.2">
      <c r="A507" s="384">
        <v>24041</v>
      </c>
      <c r="B507" s="373" t="s">
        <v>1313</v>
      </c>
      <c r="C507" s="1101">
        <f>+'[15]Input Sheet'!Q153</f>
        <v>-5.9287999999999999E-5</v>
      </c>
      <c r="D507" s="1055"/>
      <c r="E507" s="1131">
        <v>-5.9287999999999999E-5</v>
      </c>
      <c r="J507" s="163"/>
    </row>
    <row r="508" spans="1:10" x14ac:dyDescent="0.2">
      <c r="A508" s="384">
        <v>24042</v>
      </c>
      <c r="B508" s="373" t="s">
        <v>1314</v>
      </c>
      <c r="C508" s="1101">
        <f>+'[15]Input Sheet'!Q154</f>
        <v>583.95762063900008</v>
      </c>
      <c r="D508" s="1055"/>
      <c r="E508" s="1131">
        <v>-0.19291103500000001</v>
      </c>
      <c r="J508" s="163"/>
    </row>
    <row r="509" spans="1:10" x14ac:dyDescent="0.2">
      <c r="A509" s="384">
        <v>24061</v>
      </c>
      <c r="B509" s="373" t="s">
        <v>1315</v>
      </c>
      <c r="C509" s="1101">
        <f>+'[15]Input Sheet'!Q157</f>
        <v>29.491588554000003</v>
      </c>
      <c r="D509" s="1055"/>
      <c r="E509" s="1131">
        <v>29.491588554000003</v>
      </c>
      <c r="J509" s="163"/>
    </row>
    <row r="510" spans="1:10" x14ac:dyDescent="0.2">
      <c r="A510" s="384">
        <v>24062</v>
      </c>
      <c r="B510" s="373" t="s">
        <v>1316</v>
      </c>
      <c r="C510" s="1101">
        <f>+'[15]Input Sheet'!Q158</f>
        <v>-14.548362383000001</v>
      </c>
      <c r="D510" s="1055"/>
      <c r="E510" s="1131">
        <v>-28.704782158999997</v>
      </c>
      <c r="J510" s="163"/>
    </row>
    <row r="511" spans="1:10" x14ac:dyDescent="0.2">
      <c r="A511" s="384">
        <v>24126</v>
      </c>
      <c r="B511" s="373" t="str">
        <f>'[15]Input Sheet'!E179</f>
        <v>Main-SBI9E-8427-WM</v>
      </c>
      <c r="C511" s="1101">
        <f>'[15]Input Sheet'!Q179</f>
        <v>0</v>
      </c>
      <c r="D511" s="1055"/>
      <c r="E511" s="1131">
        <v>0</v>
      </c>
      <c r="J511" s="163"/>
    </row>
    <row r="512" spans="1:10" x14ac:dyDescent="0.2">
      <c r="A512" s="384">
        <v>24127</v>
      </c>
      <c r="B512" s="373" t="str">
        <f>'[15]Input Sheet'!E180</f>
        <v>Op-SBI9E-8427-WM</v>
      </c>
      <c r="C512" s="1101">
        <f>'[15]Input Sheet'!Q180</f>
        <v>0.264445608</v>
      </c>
      <c r="D512" s="1055"/>
      <c r="E512" s="1131">
        <v>1.4173910380000001</v>
      </c>
      <c r="J512" s="163"/>
    </row>
    <row r="513" spans="1:10" x14ac:dyDescent="0.2">
      <c r="A513" s="384">
        <v>24128</v>
      </c>
      <c r="B513" s="373" t="str">
        <f>'[15]Input Sheet'!E181</f>
        <v>Main-SBI9F-2465-WM</v>
      </c>
      <c r="C513" s="1101">
        <f>'[15]Input Sheet'!Q181</f>
        <v>0</v>
      </c>
      <c r="D513" s="1055"/>
      <c r="E513" s="1131">
        <v>0</v>
      </c>
      <c r="J513" s="163"/>
    </row>
    <row r="514" spans="1:10" x14ac:dyDescent="0.2">
      <c r="A514" s="384">
        <v>24129</v>
      </c>
      <c r="B514" s="373" t="str">
        <f>'[15]Input Sheet'!E182</f>
        <v>Op-SBI9F-2465-WM</v>
      </c>
      <c r="C514" s="1101">
        <f>'[15]Input Sheet'!Q182</f>
        <v>9.6951829510000014</v>
      </c>
      <c r="D514" s="1055"/>
      <c r="E514" s="1131">
        <v>6.9524773709999996</v>
      </c>
      <c r="J514" s="163"/>
    </row>
    <row r="515" spans="1:10" x14ac:dyDescent="0.2">
      <c r="A515" s="384">
        <v>24136</v>
      </c>
      <c r="B515" s="373" t="str">
        <f>'[15]Input Sheet'!E187</f>
        <v>Main-SBI9H-1663-WM_freight pyt to East Coast Rly</v>
      </c>
      <c r="C515" s="1101">
        <f>'[15]Input Sheet'!Q187</f>
        <v>0</v>
      </c>
      <c r="D515" s="1055"/>
      <c r="E515" s="1131">
        <v>0</v>
      </c>
      <c r="J515" s="163"/>
    </row>
    <row r="516" spans="1:10" x14ac:dyDescent="0.2">
      <c r="A516" s="384">
        <v>24137</v>
      </c>
      <c r="B516" s="373" t="str">
        <f>'[15]Input Sheet'!E188</f>
        <v>Op-SBI9H-1663-WM_freight pyt to East Co</v>
      </c>
      <c r="C516" s="1101">
        <f>'[15]Input Sheet'!Q188</f>
        <v>-3.1658709999999998E-3</v>
      </c>
      <c r="D516" s="1055"/>
      <c r="E516" s="1131">
        <v>-3.2307709999999999E-3</v>
      </c>
      <c r="J516" s="163"/>
    </row>
    <row r="517" spans="1:10" x14ac:dyDescent="0.2">
      <c r="A517" s="384">
        <v>24138</v>
      </c>
      <c r="B517" s="373"/>
      <c r="C517" s="1101"/>
      <c r="D517" s="1055"/>
      <c r="J517" s="163"/>
    </row>
    <row r="518" spans="1:10" x14ac:dyDescent="0.2">
      <c r="A518" s="384">
        <v>24139</v>
      </c>
      <c r="B518" s="373" t="str">
        <f>'[15]Input Sheet'!E189</f>
        <v>Op-SBI9I-1081-WM- e-freight payment to</v>
      </c>
      <c r="C518" s="1101">
        <f>'[15]Input Sheet'!Q189</f>
        <v>-3.6665582000000002E-2</v>
      </c>
      <c r="D518" s="1055"/>
      <c r="E518" s="1131">
        <v>-5.0881999999999998E-5</v>
      </c>
      <c r="J518" s="163"/>
    </row>
    <row r="519" spans="1:10" x14ac:dyDescent="0.2">
      <c r="A519" s="415"/>
      <c r="B519" s="416" t="s">
        <v>1317</v>
      </c>
      <c r="C519" s="1086">
        <f>++IF(D1142&lt;0, -D1142,0)</f>
        <v>0</v>
      </c>
      <c r="D519" s="1104"/>
      <c r="E519" s="1131">
        <v>0</v>
      </c>
      <c r="J519" s="163"/>
    </row>
    <row r="520" spans="1:10" x14ac:dyDescent="0.2">
      <c r="A520" s="384"/>
      <c r="B520" s="378" t="s">
        <v>92</v>
      </c>
      <c r="C520" s="1076">
        <f>SUM(C497:C519)</f>
        <v>8430.3274375890014</v>
      </c>
      <c r="D520" s="1055">
        <f>SUM(C497:C519)</f>
        <v>8430.3274375890014</v>
      </c>
      <c r="E520" s="1076">
        <f>SUM(E497:E519)</f>
        <v>7809.725008344999</v>
      </c>
      <c r="F520" s="1055">
        <f>SUM(E497:E519)</f>
        <v>7809.725008344999</v>
      </c>
      <c r="J520" s="163"/>
    </row>
    <row r="521" spans="1:10" x14ac:dyDescent="0.2">
      <c r="A521" s="384"/>
      <c r="B521" s="363"/>
      <c r="C521" s="1093"/>
      <c r="D521" s="1055"/>
      <c r="J521" s="163"/>
    </row>
    <row r="522" spans="1:10" x14ac:dyDescent="0.2">
      <c r="A522" s="384"/>
      <c r="B522" s="374" t="s">
        <v>1300</v>
      </c>
      <c r="C522" s="1102"/>
      <c r="D522" s="1055"/>
      <c r="J522" s="163"/>
    </row>
    <row r="523" spans="1:10" x14ac:dyDescent="0.2">
      <c r="A523" s="384"/>
      <c r="B523" s="374" t="s">
        <v>897</v>
      </c>
      <c r="C523" s="1102"/>
      <c r="D523" s="1055"/>
      <c r="J523" s="163"/>
    </row>
    <row r="524" spans="1:10" x14ac:dyDescent="0.2">
      <c r="A524" s="384"/>
      <c r="B524" s="374" t="s">
        <v>1301</v>
      </c>
      <c r="C524" s="1102"/>
      <c r="D524" s="1055"/>
      <c r="J524" s="163"/>
    </row>
    <row r="525" spans="1:10" x14ac:dyDescent="0.2">
      <c r="A525" s="384"/>
      <c r="B525" s="378" t="s">
        <v>1318</v>
      </c>
      <c r="C525" s="1093"/>
      <c r="D525" s="1055"/>
      <c r="J525" s="163"/>
    </row>
    <row r="526" spans="1:10" x14ac:dyDescent="0.2">
      <c r="A526" s="384">
        <v>50001</v>
      </c>
      <c r="B526" s="373" t="s">
        <v>1319</v>
      </c>
      <c r="C526" s="1101">
        <f>+'[15]Input Sheet'!Q718</f>
        <v>0</v>
      </c>
      <c r="D526" s="1055"/>
      <c r="E526" s="1131">
        <v>0</v>
      </c>
      <c r="J526" s="163"/>
    </row>
    <row r="527" spans="1:10" x14ac:dyDescent="0.2">
      <c r="A527" s="384">
        <v>50002</v>
      </c>
      <c r="B527" s="373" t="s">
        <v>1320</v>
      </c>
      <c r="C527" s="1101">
        <f>+'[15]Input Sheet'!Q719</f>
        <v>687.49966649999999</v>
      </c>
      <c r="D527" s="1055"/>
      <c r="E527" s="1131">
        <v>623</v>
      </c>
      <c r="J527" s="163"/>
    </row>
    <row r="528" spans="1:10" x14ac:dyDescent="0.2">
      <c r="A528" s="384">
        <v>50003</v>
      </c>
      <c r="B528" s="373" t="s">
        <v>1321</v>
      </c>
      <c r="C528" s="1101">
        <f>+'[15]Input Sheet'!Q720</f>
        <v>0</v>
      </c>
      <c r="D528" s="1055"/>
      <c r="E528" s="1131">
        <v>0</v>
      </c>
      <c r="J528" s="163"/>
    </row>
    <row r="529" spans="1:10" x14ac:dyDescent="0.2">
      <c r="A529" s="384">
        <v>50004</v>
      </c>
      <c r="B529" s="373" t="s">
        <v>1322</v>
      </c>
      <c r="C529" s="1101">
        <f>+'[15]Input Sheet'!Q721</f>
        <v>0</v>
      </c>
      <c r="D529" s="1055"/>
      <c r="E529" s="1131">
        <v>5.7363078999999999</v>
      </c>
      <c r="J529" s="414"/>
    </row>
    <row r="530" spans="1:10" x14ac:dyDescent="0.2">
      <c r="A530" s="384">
        <v>50005</v>
      </c>
      <c r="B530" s="373" t="s">
        <v>1323</v>
      </c>
      <c r="C530" s="1101">
        <f>+'[15]Input Sheet'!Q722</f>
        <v>0</v>
      </c>
      <c r="D530" s="1055"/>
      <c r="E530" s="1131">
        <v>0</v>
      </c>
      <c r="J530" s="163"/>
    </row>
    <row r="531" spans="1:10" x14ac:dyDescent="0.2">
      <c r="A531" s="384">
        <v>50006</v>
      </c>
      <c r="B531" s="373" t="s">
        <v>1324</v>
      </c>
      <c r="C531" s="1101">
        <f>+'[15]Input Sheet'!Q723</f>
        <v>0</v>
      </c>
      <c r="D531" s="1055"/>
      <c r="E531" s="1131">
        <v>10.7664083</v>
      </c>
      <c r="J531" s="163"/>
    </row>
    <row r="532" spans="1:10" x14ac:dyDescent="0.2">
      <c r="A532" s="384">
        <v>50008</v>
      </c>
      <c r="B532" s="373" t="s">
        <v>1325</v>
      </c>
      <c r="C532" s="1101">
        <f>+'[15]Input Sheet'!Q725</f>
        <v>3525.3710953999998</v>
      </c>
      <c r="D532" s="1055"/>
      <c r="E532" s="1131">
        <v>3876</v>
      </c>
      <c r="J532" s="163"/>
    </row>
    <row r="533" spans="1:10" x14ac:dyDescent="0.2">
      <c r="A533" s="384">
        <v>50009</v>
      </c>
      <c r="B533" s="373" t="s">
        <v>1326</v>
      </c>
      <c r="C533" s="1101">
        <f>+'[15]Input Sheet'!Q726</f>
        <v>0</v>
      </c>
      <c r="D533" s="1055"/>
      <c r="E533" s="1131">
        <v>0</v>
      </c>
      <c r="J533" s="163"/>
    </row>
    <row r="534" spans="1:10" x14ac:dyDescent="0.2">
      <c r="A534" s="384">
        <v>50010</v>
      </c>
      <c r="B534" s="373" t="s">
        <v>1327</v>
      </c>
      <c r="C534" s="1101">
        <f>+'[15]Input Sheet'!Q727</f>
        <v>0</v>
      </c>
      <c r="D534" s="1055"/>
      <c r="E534" s="1131">
        <v>0</v>
      </c>
      <c r="J534" s="163"/>
    </row>
    <row r="535" spans="1:10" x14ac:dyDescent="0.2">
      <c r="A535" s="384">
        <v>50011</v>
      </c>
      <c r="B535" s="373" t="s">
        <v>1328</v>
      </c>
      <c r="C535" s="1101">
        <f>+'[15]Input Sheet'!Q728</f>
        <v>0</v>
      </c>
      <c r="D535" s="1055"/>
      <c r="E535" s="1131">
        <v>0</v>
      </c>
      <c r="J535" s="163"/>
    </row>
    <row r="536" spans="1:10" x14ac:dyDescent="0.2">
      <c r="A536" s="337">
        <v>50014</v>
      </c>
      <c r="B536" s="373" t="s">
        <v>1329</v>
      </c>
      <c r="C536" s="1101">
        <f>+'[15]Input Sheet'!Q731</f>
        <v>0</v>
      </c>
      <c r="D536" s="1055"/>
      <c r="E536" s="1131">
        <v>0</v>
      </c>
      <c r="J536" s="163"/>
    </row>
    <row r="537" spans="1:10" x14ac:dyDescent="0.2">
      <c r="A537" s="337"/>
      <c r="B537" s="373"/>
      <c r="C537" s="1101"/>
      <c r="D537" s="1055"/>
      <c r="J537" s="163"/>
    </row>
    <row r="538" spans="1:10" x14ac:dyDescent="0.2">
      <c r="A538" s="337">
        <v>50016</v>
      </c>
      <c r="B538" s="373" t="s">
        <v>1330</v>
      </c>
      <c r="C538" s="1101">
        <f>+'[15]Input Sheet'!Q733</f>
        <v>0</v>
      </c>
      <c r="D538" s="1055"/>
      <c r="E538" s="1131">
        <v>0</v>
      </c>
      <c r="J538" s="163"/>
    </row>
    <row r="539" spans="1:10" x14ac:dyDescent="0.2">
      <c r="A539" s="337"/>
      <c r="B539" s="373"/>
      <c r="C539" s="1101"/>
      <c r="D539" s="1055"/>
      <c r="J539" s="163"/>
    </row>
    <row r="540" spans="1:10" x14ac:dyDescent="0.2">
      <c r="A540" s="337"/>
      <c r="B540" s="373"/>
      <c r="C540" s="1101"/>
      <c r="D540" s="1104"/>
      <c r="J540" s="163"/>
    </row>
    <row r="541" spans="1:10" x14ac:dyDescent="0.2">
      <c r="A541" s="384"/>
      <c r="B541" s="378" t="s">
        <v>92</v>
      </c>
      <c r="C541" s="1076">
        <f>SUM(C526:C539)</f>
        <v>4212.8707618999997</v>
      </c>
      <c r="D541" s="1055">
        <f>SUM(C526:C539)</f>
        <v>4212.8707618999997</v>
      </c>
      <c r="E541" s="1076">
        <f>SUM(E526:E539)</f>
        <v>4515.5027161999997</v>
      </c>
      <c r="F541" s="1055">
        <f>SUM(E526:E539)</f>
        <v>4515.5027161999997</v>
      </c>
      <c r="J541" s="163"/>
    </row>
    <row r="542" spans="1:10" ht="25.5" x14ac:dyDescent="0.2">
      <c r="A542" s="384"/>
      <c r="B542" s="417" t="s">
        <v>921</v>
      </c>
      <c r="C542" s="1083"/>
      <c r="D542" s="1060">
        <f>+'[15]LT Final'!E29+'[15]LT Final'!E34</f>
        <v>3008.6983286605678</v>
      </c>
      <c r="F542" s="1131">
        <v>3586.7015421791675</v>
      </c>
    </row>
    <row r="543" spans="1:10" x14ac:dyDescent="0.2">
      <c r="A543" s="384"/>
      <c r="B543" s="417"/>
      <c r="C543" s="1083"/>
      <c r="D543" s="1060"/>
    </row>
    <row r="544" spans="1:10" x14ac:dyDescent="0.2">
      <c r="A544" s="384"/>
      <c r="B544" s="378" t="s">
        <v>1331</v>
      </c>
      <c r="C544" s="1093"/>
      <c r="D544" s="1055"/>
      <c r="J544" s="163"/>
    </row>
    <row r="545" spans="1:5" x14ac:dyDescent="0.2">
      <c r="A545" s="384"/>
      <c r="B545" s="373" t="s">
        <v>1332</v>
      </c>
      <c r="C545" s="1101"/>
      <c r="D545" s="1055"/>
    </row>
    <row r="546" spans="1:5" x14ac:dyDescent="0.2">
      <c r="A546" s="384">
        <v>50007</v>
      </c>
      <c r="B546" s="373" t="s">
        <v>1333</v>
      </c>
      <c r="C546" s="1101">
        <f>+'[15]Input Sheet'!Q724</f>
        <v>0</v>
      </c>
      <c r="D546" s="1055"/>
      <c r="E546" s="1131">
        <v>0</v>
      </c>
    </row>
    <row r="547" spans="1:5" x14ac:dyDescent="0.2">
      <c r="A547" s="384">
        <v>50012</v>
      </c>
      <c r="B547" s="373" t="s">
        <v>1334</v>
      </c>
      <c r="C547" s="1101">
        <f>+'[15]Input Sheet'!Q729</f>
        <v>0</v>
      </c>
      <c r="D547" s="1055"/>
      <c r="E547" s="1131">
        <v>0</v>
      </c>
    </row>
    <row r="548" spans="1:5" x14ac:dyDescent="0.2">
      <c r="A548" s="384">
        <v>50013</v>
      </c>
      <c r="B548" s="373" t="s">
        <v>1335</v>
      </c>
      <c r="C548" s="1101">
        <f>+'[15]Input Sheet'!Q730</f>
        <v>0</v>
      </c>
      <c r="D548" s="1055"/>
      <c r="E548" s="1131">
        <v>0</v>
      </c>
    </row>
    <row r="549" spans="1:5" x14ac:dyDescent="0.2">
      <c r="A549" s="337">
        <v>50015</v>
      </c>
      <c r="B549" s="373" t="s">
        <v>1336</v>
      </c>
      <c r="C549" s="1101">
        <f>+'[15]Input Sheet'!Q732</f>
        <v>137.49999869999999</v>
      </c>
      <c r="D549" s="1055"/>
      <c r="E549" s="1131">
        <v>387.4999995</v>
      </c>
    </row>
    <row r="550" spans="1:5" x14ac:dyDescent="0.2">
      <c r="A550" s="337">
        <v>50017</v>
      </c>
      <c r="B550" s="373" t="s">
        <v>1337</v>
      </c>
      <c r="C550" s="1101">
        <f>+'[15]Input Sheet'!Q734</f>
        <v>1483.3333332</v>
      </c>
      <c r="D550" s="1055"/>
      <c r="E550" s="1131">
        <v>1000</v>
      </c>
    </row>
    <row r="551" spans="1:5" x14ac:dyDescent="0.2">
      <c r="A551" s="384">
        <v>50018</v>
      </c>
      <c r="B551" s="373" t="s">
        <v>1338</v>
      </c>
      <c r="C551" s="1101">
        <f>'[15]Input Sheet'!Q735</f>
        <v>0</v>
      </c>
      <c r="D551" s="1055"/>
      <c r="E551" s="1131">
        <v>0</v>
      </c>
    </row>
    <row r="552" spans="1:5" x14ac:dyDescent="0.2">
      <c r="A552" s="384">
        <v>51001</v>
      </c>
      <c r="B552" s="373" t="s">
        <v>1339</v>
      </c>
      <c r="C552" s="1101">
        <f>+'[15]Input Sheet'!Q742</f>
        <v>0</v>
      </c>
      <c r="D552" s="1055"/>
      <c r="E552" s="1131">
        <v>0</v>
      </c>
    </row>
    <row r="553" spans="1:5" x14ac:dyDescent="0.2">
      <c r="A553" s="384">
        <v>51002</v>
      </c>
      <c r="B553" s="373" t="s">
        <v>1340</v>
      </c>
      <c r="C553" s="1101">
        <f>+'[15]Input Sheet'!Q743</f>
        <v>0</v>
      </c>
      <c r="D553" s="1055"/>
      <c r="E553" s="1131">
        <v>0</v>
      </c>
    </row>
    <row r="554" spans="1:5" x14ac:dyDescent="0.2">
      <c r="A554" s="384">
        <v>51003</v>
      </c>
      <c r="B554" s="373" t="s">
        <v>1341</v>
      </c>
      <c r="C554" s="1101">
        <f>+'[15]Input Sheet'!Q744</f>
        <v>0</v>
      </c>
      <c r="D554" s="1055"/>
      <c r="E554" s="1131">
        <v>0</v>
      </c>
    </row>
    <row r="555" spans="1:5" x14ac:dyDescent="0.2">
      <c r="A555" s="384">
        <v>51004</v>
      </c>
      <c r="B555" s="373" t="s">
        <v>1342</v>
      </c>
      <c r="C555" s="1101">
        <f>+'[15]Input Sheet'!Q745</f>
        <v>0</v>
      </c>
      <c r="D555" s="1055"/>
      <c r="E555" s="1131">
        <v>0</v>
      </c>
    </row>
    <row r="556" spans="1:5" ht="25.5" x14ac:dyDescent="0.2">
      <c r="A556" s="384">
        <v>51005</v>
      </c>
      <c r="B556" s="375" t="s">
        <v>1343</v>
      </c>
      <c r="C556" s="1082">
        <f>+'[15]Input Sheet'!Q746</f>
        <v>0</v>
      </c>
      <c r="D556" s="1055"/>
      <c r="E556" s="1131">
        <v>0</v>
      </c>
    </row>
    <row r="557" spans="1:5" ht="25.5" x14ac:dyDescent="0.2">
      <c r="A557" s="384">
        <v>51006</v>
      </c>
      <c r="B557" s="375" t="s">
        <v>1344</v>
      </c>
      <c r="C557" s="1082">
        <f>+'[15]Input Sheet'!Q747</f>
        <v>0</v>
      </c>
      <c r="D557" s="1055"/>
      <c r="E557" s="1131">
        <v>0</v>
      </c>
    </row>
    <row r="558" spans="1:5" x14ac:dyDescent="0.2">
      <c r="A558" s="384">
        <v>51007</v>
      </c>
      <c r="B558" s="375" t="s">
        <v>1345</v>
      </c>
      <c r="C558" s="1082">
        <f>+'[15]Input Sheet'!Q748</f>
        <v>0</v>
      </c>
      <c r="D558" s="1055"/>
      <c r="E558" s="1131">
        <v>0</v>
      </c>
    </row>
    <row r="559" spans="1:5" x14ac:dyDescent="0.2">
      <c r="A559" s="384">
        <v>51008</v>
      </c>
      <c r="B559" s="373" t="s">
        <v>1346</v>
      </c>
      <c r="C559" s="1101">
        <f>+'[15]Input Sheet'!Q749</f>
        <v>0</v>
      </c>
      <c r="D559" s="1055"/>
      <c r="E559" s="1131">
        <v>0</v>
      </c>
    </row>
    <row r="560" spans="1:5" x14ac:dyDescent="0.2">
      <c r="A560" s="337">
        <v>51502</v>
      </c>
      <c r="B560" s="373" t="s">
        <v>1347</v>
      </c>
      <c r="C560" s="1101">
        <f>+'[15]Input Sheet'!Q751</f>
        <v>0</v>
      </c>
      <c r="D560" s="1055"/>
      <c r="E560" s="1131">
        <v>0</v>
      </c>
    </row>
    <row r="561" spans="1:12" x14ac:dyDescent="0.2">
      <c r="A561" s="337">
        <v>51503</v>
      </c>
      <c r="B561" s="373" t="s">
        <v>1348</v>
      </c>
      <c r="C561" s="1101">
        <f>+'[15]Input Sheet'!Q752</f>
        <v>0</v>
      </c>
      <c r="D561" s="1055"/>
      <c r="E561" s="1131">
        <v>0</v>
      </c>
    </row>
    <row r="562" spans="1:12" x14ac:dyDescent="0.2">
      <c r="A562" s="337">
        <v>51504</v>
      </c>
      <c r="B562" s="373" t="s">
        <v>1349</v>
      </c>
      <c r="C562" s="1101">
        <f>+'[15]Input Sheet'!Q753</f>
        <v>0</v>
      </c>
      <c r="D562" s="1055"/>
      <c r="E562" s="1131">
        <v>0</v>
      </c>
    </row>
    <row r="563" spans="1:12" x14ac:dyDescent="0.2">
      <c r="A563" s="337">
        <v>51505</v>
      </c>
      <c r="B563" s="373" t="s">
        <v>1350</v>
      </c>
      <c r="C563" s="1101">
        <f>+'[15]Input Sheet'!Q754</f>
        <v>0</v>
      </c>
      <c r="D563" s="1055"/>
      <c r="E563" s="1131">
        <v>0</v>
      </c>
    </row>
    <row r="564" spans="1:12" x14ac:dyDescent="0.2">
      <c r="A564" s="384"/>
      <c r="B564" s="378" t="s">
        <v>92</v>
      </c>
      <c r="C564" s="1076">
        <f>SUM(C546:C563)</f>
        <v>1620.8333318999998</v>
      </c>
      <c r="D564" s="1148">
        <f>SUM(C546:C563)</f>
        <v>1620.8333318999998</v>
      </c>
      <c r="E564" s="1076">
        <f>SUM(E546:E563)</f>
        <v>1387.4999995000001</v>
      </c>
      <c r="F564" s="1148">
        <f>SUM(E546:E563)</f>
        <v>1387.4999995000001</v>
      </c>
    </row>
    <row r="565" spans="1:12" x14ac:dyDescent="0.2">
      <c r="A565" s="405"/>
      <c r="B565" s="418" t="s">
        <v>92</v>
      </c>
      <c r="C565" s="1149"/>
      <c r="D565" s="1150">
        <f>D520+D541+D564+D542</f>
        <v>17272.729860049567</v>
      </c>
      <c r="F565" s="1150">
        <f>F520+F541+F564+F542</f>
        <v>17299.429266224164</v>
      </c>
    </row>
    <row r="566" spans="1:12" x14ac:dyDescent="0.2">
      <c r="C566" s="1098"/>
      <c r="D566" s="1098"/>
    </row>
    <row r="567" spans="1:12" x14ac:dyDescent="0.2">
      <c r="A567" s="400" t="s">
        <v>1351</v>
      </c>
      <c r="B567" s="374" t="s">
        <v>926</v>
      </c>
      <c r="C567" s="1111"/>
      <c r="D567" s="1055"/>
    </row>
    <row r="568" spans="1:12" x14ac:dyDescent="0.2">
      <c r="A568" s="384">
        <f>'[15]Input Sheet'!D795</f>
        <v>53040</v>
      </c>
      <c r="B568" s="404" t="s">
        <v>908</v>
      </c>
      <c r="C568" s="1111">
        <f>'[15]Input Sheet'!Q795</f>
        <v>0</v>
      </c>
      <c r="D568" s="1055"/>
    </row>
    <row r="569" spans="1:12" ht="13.5" thickBot="1" x14ac:dyDescent="0.25">
      <c r="A569" s="384"/>
      <c r="B569" s="412"/>
      <c r="C569" s="1145">
        <f>C568</f>
        <v>0</v>
      </c>
      <c r="D569" s="1091">
        <f>C568</f>
        <v>0</v>
      </c>
      <c r="F569" s="1091">
        <f>E568</f>
        <v>0</v>
      </c>
    </row>
    <row r="570" spans="1:12" ht="13.5" thickTop="1" x14ac:dyDescent="0.2">
      <c r="C570" s="1098"/>
      <c r="D570" s="1098"/>
    </row>
    <row r="571" spans="1:12" x14ac:dyDescent="0.2">
      <c r="A571" s="419" t="s">
        <v>40</v>
      </c>
      <c r="B571" s="420" t="s">
        <v>927</v>
      </c>
      <c r="C571" s="1108"/>
      <c r="D571" s="1076"/>
      <c r="L571" s="346"/>
    </row>
    <row r="572" spans="1:12" x14ac:dyDescent="0.2">
      <c r="A572" s="384"/>
      <c r="B572" s="374" t="s">
        <v>927</v>
      </c>
      <c r="C572" s="1102"/>
      <c r="D572" s="1055"/>
    </row>
    <row r="573" spans="1:12" ht="25.5" x14ac:dyDescent="0.2">
      <c r="A573" s="384"/>
      <c r="B573" s="417" t="s">
        <v>928</v>
      </c>
      <c r="C573" s="1083"/>
      <c r="D573" s="1151">
        <v>0.21883079999999999</v>
      </c>
      <c r="F573" s="1131">
        <v>1.9636041497979999</v>
      </c>
    </row>
    <row r="574" spans="1:12" x14ac:dyDescent="0.2">
      <c r="A574" s="384"/>
      <c r="B574" s="378" t="s">
        <v>929</v>
      </c>
      <c r="C574" s="1093"/>
      <c r="D574" s="1055"/>
    </row>
    <row r="575" spans="1:12" ht="15" x14ac:dyDescent="0.2">
      <c r="A575" s="337">
        <v>99209</v>
      </c>
      <c r="B575" s="421" t="s">
        <v>1228</v>
      </c>
      <c r="C575" s="1101">
        <f>+IF('[15]Input Sheet'!Q1373&lt;0, -'[15]Input Sheet'!Q1373,0)</f>
        <v>20.432856769999997</v>
      </c>
      <c r="D575" s="1055"/>
      <c r="E575" s="1131">
        <v>42.889202040000001</v>
      </c>
    </row>
    <row r="576" spans="1:12" x14ac:dyDescent="0.2">
      <c r="A576" s="337">
        <v>99215</v>
      </c>
      <c r="B576" s="373" t="s">
        <v>1352</v>
      </c>
      <c r="C576" s="1055">
        <f>'[15]Input Sheet'!Q1377</f>
        <v>2256.725031815</v>
      </c>
      <c r="D576" s="1055"/>
      <c r="E576" s="1131">
        <v>1909.5487837330002</v>
      </c>
    </row>
    <row r="577" spans="1:8" x14ac:dyDescent="0.2">
      <c r="A577" s="337">
        <v>99216</v>
      </c>
      <c r="B577" s="373" t="s">
        <v>1353</v>
      </c>
      <c r="C577" s="1055">
        <f>'[15]Input Sheet'!Q1378</f>
        <v>16.748457690000002</v>
      </c>
      <c r="D577" s="1055"/>
      <c r="E577" s="1131">
        <v>79.391051301000005</v>
      </c>
    </row>
    <row r="578" spans="1:8" x14ac:dyDescent="0.2">
      <c r="A578" s="337">
        <v>99217</v>
      </c>
      <c r="B578" s="373" t="s">
        <v>1354</v>
      </c>
      <c r="C578" s="1055">
        <f>'[15]Input Sheet'!Q1379</f>
        <v>796.755554437</v>
      </c>
      <c r="D578" s="1055"/>
      <c r="E578" s="1131">
        <v>76.496605099999996</v>
      </c>
    </row>
    <row r="579" spans="1:8" x14ac:dyDescent="0.2">
      <c r="A579" s="337">
        <v>99218</v>
      </c>
      <c r="B579" s="373" t="s">
        <v>1355</v>
      </c>
      <c r="C579" s="1055">
        <f>'[15]Input Sheet'!Q1380</f>
        <v>42.831257956000002</v>
      </c>
      <c r="D579" s="1055"/>
      <c r="E579" s="1131">
        <v>42.624625762999997</v>
      </c>
    </row>
    <row r="580" spans="1:8" x14ac:dyDescent="0.2">
      <c r="A580" s="337">
        <v>99219</v>
      </c>
      <c r="B580" s="373" t="s">
        <v>1356</v>
      </c>
      <c r="C580" s="1055">
        <f>'[15]Input Sheet'!Q1381</f>
        <v>0</v>
      </c>
      <c r="D580" s="1055"/>
      <c r="E580" s="1131">
        <v>12.0863858</v>
      </c>
    </row>
    <row r="581" spans="1:8" x14ac:dyDescent="0.2">
      <c r="A581" s="337">
        <v>99220</v>
      </c>
      <c r="B581" s="373" t="s">
        <v>1357</v>
      </c>
      <c r="C581" s="1055">
        <f>'[15]Input Sheet'!Q1382</f>
        <v>0</v>
      </c>
      <c r="D581" s="1055"/>
      <c r="E581" s="1131">
        <v>0</v>
      </c>
    </row>
    <row r="582" spans="1:8" x14ac:dyDescent="0.2">
      <c r="A582" s="337">
        <v>99221</v>
      </c>
      <c r="B582" s="373" t="s">
        <v>1358</v>
      </c>
      <c r="C582" s="1055">
        <f>'[15]Input Sheet'!Q1383</f>
        <v>36.204285900000002</v>
      </c>
      <c r="D582" s="1055"/>
      <c r="E582" s="1131">
        <v>22.687750699999999</v>
      </c>
    </row>
    <row r="583" spans="1:8" x14ac:dyDescent="0.2">
      <c r="A583" s="337">
        <v>99222</v>
      </c>
      <c r="B583" s="373" t="s">
        <v>1359</v>
      </c>
      <c r="C583" s="1055">
        <f>'[15]Input Sheet'!Q1384</f>
        <v>0</v>
      </c>
      <c r="D583" s="1055"/>
      <c r="E583" s="1131">
        <v>0</v>
      </c>
    </row>
    <row r="584" spans="1:8" x14ac:dyDescent="0.2">
      <c r="A584" s="337">
        <v>99223</v>
      </c>
      <c r="B584" s="373" t="s">
        <v>1360</v>
      </c>
      <c r="C584" s="1055">
        <f>'[15]Input Sheet'!Q1385</f>
        <v>0</v>
      </c>
      <c r="D584" s="1055"/>
      <c r="E584" s="1131">
        <v>0</v>
      </c>
    </row>
    <row r="585" spans="1:8" x14ac:dyDescent="0.2">
      <c r="A585" s="337">
        <v>99224</v>
      </c>
      <c r="B585" s="373" t="s">
        <v>1361</v>
      </c>
      <c r="C585" s="1055">
        <f>'[15]Input Sheet'!Q1386</f>
        <v>0</v>
      </c>
      <c r="D585" s="1055"/>
      <c r="E585" s="1131">
        <v>0</v>
      </c>
    </row>
    <row r="586" spans="1:8" ht="20.25" customHeight="1" x14ac:dyDescent="0.2">
      <c r="A586" s="384">
        <v>99225</v>
      </c>
      <c r="B586" s="375" t="s">
        <v>1362</v>
      </c>
      <c r="C586" s="1055">
        <f>+'[15]Input Sheet'!Q1387-D573-C666</f>
        <v>986.34783165500016</v>
      </c>
      <c r="D586" s="1055"/>
      <c r="E586" s="1098">
        <v>853.98079473620203</v>
      </c>
      <c r="F586" s="1098"/>
      <c r="G586" s="422"/>
      <c r="H586" s="422"/>
    </row>
    <row r="587" spans="1:8" x14ac:dyDescent="0.2">
      <c r="A587" s="337">
        <v>99226</v>
      </c>
      <c r="B587" s="373" t="s">
        <v>1363</v>
      </c>
      <c r="C587" s="1055">
        <f>'[15]Input Sheet'!Q1388</f>
        <v>5.7147700319999997</v>
      </c>
      <c r="D587" s="1055"/>
      <c r="E587" s="1131">
        <v>6.3453224490000002</v>
      </c>
    </row>
    <row r="588" spans="1:8" x14ac:dyDescent="0.2">
      <c r="A588" s="337">
        <v>99227</v>
      </c>
      <c r="B588" s="373" t="s">
        <v>1364</v>
      </c>
      <c r="C588" s="1055">
        <f>'[15]Input Sheet'!Q1389</f>
        <v>0</v>
      </c>
      <c r="D588" s="1055"/>
      <c r="E588" s="1131">
        <v>6.7146000000000003E-3</v>
      </c>
    </row>
    <row r="589" spans="1:8" x14ac:dyDescent="0.2">
      <c r="A589" s="384">
        <v>99228</v>
      </c>
      <c r="B589" s="373" t="s">
        <v>1365</v>
      </c>
      <c r="C589" s="1055">
        <f>'[15]Input Sheet'!Q1390</f>
        <v>4.5589999999999997E-3</v>
      </c>
      <c r="D589" s="1055"/>
      <c r="E589" s="1131">
        <v>4.5589999999999997E-3</v>
      </c>
    </row>
    <row r="590" spans="1:8" x14ac:dyDescent="0.2">
      <c r="A590" s="384">
        <v>99231</v>
      </c>
      <c r="B590" s="373" t="s">
        <v>1366</v>
      </c>
      <c r="C590" s="1055">
        <f>+'[15]Input Sheet'!Q1393-C663-C664-C665+G1412</f>
        <v>3617.7442334809998</v>
      </c>
      <c r="D590" s="1055"/>
      <c r="E590" s="1131">
        <v>3172.1565066030003</v>
      </c>
    </row>
    <row r="591" spans="1:8" x14ac:dyDescent="0.2">
      <c r="A591" s="384">
        <v>99235</v>
      </c>
      <c r="B591" s="373" t="s">
        <v>1367</v>
      </c>
      <c r="C591" s="1055">
        <f>'[15]Input Sheet'!Q1397</f>
        <v>70.360702099999997</v>
      </c>
      <c r="D591" s="1055"/>
      <c r="E591" s="1131">
        <v>62.1623825</v>
      </c>
    </row>
    <row r="592" spans="1:8" x14ac:dyDescent="0.2">
      <c r="A592" s="384">
        <v>99236</v>
      </c>
      <c r="B592" s="423" t="s">
        <v>1368</v>
      </c>
      <c r="C592" s="1055">
        <f>++'[15]Input Sheet'!Q1398</f>
        <v>0.79450841999999999</v>
      </c>
      <c r="D592" s="1055"/>
      <c r="E592" s="1131">
        <v>0</v>
      </c>
    </row>
    <row r="593" spans="1:5" ht="25.5" x14ac:dyDescent="0.2">
      <c r="A593" s="337">
        <v>40115</v>
      </c>
      <c r="B593" s="423" t="s">
        <v>1369</v>
      </c>
      <c r="C593" s="1055">
        <f>'[15]Input Sheet'!Q587</f>
        <v>-5.0000000000000001E-9</v>
      </c>
      <c r="D593" s="1055"/>
      <c r="E593" s="1131">
        <v>-1.0546906E-2</v>
      </c>
    </row>
    <row r="594" spans="1:5" x14ac:dyDescent="0.2">
      <c r="A594" s="337">
        <v>40240</v>
      </c>
      <c r="B594" s="373" t="s">
        <v>1370</v>
      </c>
      <c r="C594" s="1055">
        <f>'[15]Input Sheet'!Q588</f>
        <v>0</v>
      </c>
      <c r="D594" s="1055"/>
      <c r="E594" s="1131">
        <v>0</v>
      </c>
    </row>
    <row r="595" spans="1:5" x14ac:dyDescent="0.2">
      <c r="A595" s="337">
        <v>40245</v>
      </c>
      <c r="B595" s="373" t="s">
        <v>1371</v>
      </c>
      <c r="C595" s="1055">
        <f>'[15]Input Sheet'!Q589</f>
        <v>0</v>
      </c>
      <c r="D595" s="1055"/>
      <c r="E595" s="1131">
        <v>2.5374669399999998</v>
      </c>
    </row>
    <row r="596" spans="1:5" x14ac:dyDescent="0.2">
      <c r="A596" s="337">
        <v>40246</v>
      </c>
      <c r="B596" s="373" t="s">
        <v>1372</v>
      </c>
      <c r="C596" s="1055">
        <f>'[15]Input Sheet'!Q590</f>
        <v>8.8239500000000012E-4</v>
      </c>
      <c r="D596" s="1055"/>
      <c r="E596" s="1131">
        <v>1.013508E-3</v>
      </c>
    </row>
    <row r="597" spans="1:5" x14ac:dyDescent="0.2">
      <c r="A597" s="337">
        <v>40247</v>
      </c>
      <c r="B597" s="373" t="s">
        <v>1373</v>
      </c>
      <c r="C597" s="1055">
        <f>'[15]Input Sheet'!Q591</f>
        <v>40.267268516000001</v>
      </c>
      <c r="D597" s="1055"/>
      <c r="E597" s="1131">
        <v>2.214299574</v>
      </c>
    </row>
    <row r="598" spans="1:5" x14ac:dyDescent="0.2">
      <c r="A598" s="337">
        <v>40248</v>
      </c>
      <c r="B598" s="373" t="s">
        <v>1374</v>
      </c>
      <c r="C598" s="1055">
        <f>'[15]Input Sheet'!Q592</f>
        <v>0</v>
      </c>
      <c r="D598" s="1055"/>
      <c r="E598" s="1131">
        <v>0</v>
      </c>
    </row>
    <row r="599" spans="1:5" x14ac:dyDescent="0.2">
      <c r="A599" s="384">
        <v>40315</v>
      </c>
      <c r="B599" s="373" t="s">
        <v>1375</v>
      </c>
      <c r="C599" s="1055">
        <f>'[15]Input Sheet'!Q593</f>
        <v>0</v>
      </c>
      <c r="D599" s="1055"/>
      <c r="E599" s="1131">
        <v>0</v>
      </c>
    </row>
    <row r="600" spans="1:5" x14ac:dyDescent="0.2">
      <c r="A600" s="337">
        <v>40421</v>
      </c>
      <c r="B600" s="373" t="s">
        <v>1376</v>
      </c>
      <c r="C600" s="1055">
        <f>'[15]Input Sheet'!Q594</f>
        <v>0.113044748</v>
      </c>
      <c r="D600" s="1055"/>
      <c r="E600" s="1131">
        <v>4.3346184000000003E-2</v>
      </c>
    </row>
    <row r="601" spans="1:5" x14ac:dyDescent="0.2">
      <c r="A601" s="337">
        <v>40422</v>
      </c>
      <c r="B601" s="373" t="s">
        <v>1377</v>
      </c>
      <c r="C601" s="1055">
        <f>'[15]Input Sheet'!Q595</f>
        <v>0</v>
      </c>
      <c r="D601" s="1055"/>
      <c r="E601" s="1131">
        <v>0</v>
      </c>
    </row>
    <row r="602" spans="1:5" x14ac:dyDescent="0.2">
      <c r="A602" s="337">
        <v>40423</v>
      </c>
      <c r="B602" s="373" t="s">
        <v>1378</v>
      </c>
      <c r="C602" s="1055">
        <f>'[15]Input Sheet'!Q596</f>
        <v>1.0772083E-2</v>
      </c>
      <c r="D602" s="1055"/>
      <c r="E602" s="1131">
        <v>0.52079087800000001</v>
      </c>
    </row>
    <row r="603" spans="1:5" x14ac:dyDescent="0.2">
      <c r="A603" s="337">
        <v>40424</v>
      </c>
      <c r="B603" s="373" t="s">
        <v>1379</v>
      </c>
      <c r="C603" s="1055">
        <f>'[15]Input Sheet'!Q597</f>
        <v>0</v>
      </c>
      <c r="D603" s="1055"/>
      <c r="E603" s="1131">
        <v>0</v>
      </c>
    </row>
    <row r="604" spans="1:5" x14ac:dyDescent="0.2">
      <c r="A604" s="337">
        <v>40425</v>
      </c>
      <c r="B604" s="373" t="s">
        <v>1380</v>
      </c>
      <c r="C604" s="1055">
        <f>'[15]Input Sheet'!Q598</f>
        <v>1.3928632240000001</v>
      </c>
      <c r="D604" s="1055"/>
      <c r="E604" s="1131">
        <v>3.4689835689999997</v>
      </c>
    </row>
    <row r="605" spans="1:5" x14ac:dyDescent="0.2">
      <c r="A605" s="337">
        <v>40426</v>
      </c>
      <c r="B605" s="373" t="s">
        <v>1381</v>
      </c>
      <c r="C605" s="1055">
        <f>'[15]Input Sheet'!Q599</f>
        <v>0.81766317699999991</v>
      </c>
      <c r="D605" s="1055"/>
      <c r="E605" s="1131">
        <v>0.65055522899999996</v>
      </c>
    </row>
    <row r="606" spans="1:5" x14ac:dyDescent="0.2">
      <c r="A606" s="337">
        <v>40431</v>
      </c>
      <c r="B606" s="373" t="s">
        <v>1382</v>
      </c>
      <c r="C606" s="1055">
        <f>'[15]Input Sheet'!Q600</f>
        <v>3.7465772579999999</v>
      </c>
      <c r="D606" s="1055"/>
      <c r="E606" s="1131">
        <v>2.5274192280000003</v>
      </c>
    </row>
    <row r="607" spans="1:5" x14ac:dyDescent="0.2">
      <c r="A607" s="337">
        <v>40521</v>
      </c>
      <c r="B607" s="373" t="s">
        <v>1383</v>
      </c>
      <c r="C607" s="1055">
        <f>'[15]Input Sheet'!Q601</f>
        <v>0</v>
      </c>
      <c r="D607" s="1055"/>
      <c r="E607" s="1131">
        <v>0</v>
      </c>
    </row>
    <row r="608" spans="1:5" x14ac:dyDescent="0.2">
      <c r="A608" s="337">
        <v>40525</v>
      </c>
      <c r="B608" s="373" t="s">
        <v>1384</v>
      </c>
      <c r="C608" s="1055">
        <f>'[15]Input Sheet'!Q602</f>
        <v>0</v>
      </c>
      <c r="D608" s="1055"/>
      <c r="E608" s="1131">
        <v>0</v>
      </c>
    </row>
    <row r="609" spans="1:5" x14ac:dyDescent="0.2">
      <c r="A609" s="337">
        <v>40641</v>
      </c>
      <c r="B609" s="373" t="s">
        <v>1385</v>
      </c>
      <c r="C609" s="1055">
        <f>'[15]Input Sheet'!Q603</f>
        <v>54.148500883000004</v>
      </c>
      <c r="D609" s="1055"/>
      <c r="E609" s="1131">
        <v>182.31407259300002</v>
      </c>
    </row>
    <row r="610" spans="1:5" x14ac:dyDescent="0.2">
      <c r="A610" s="384">
        <v>43100</v>
      </c>
      <c r="B610" s="373" t="s">
        <v>1386</v>
      </c>
      <c r="C610" s="1055">
        <f>'[15]Input Sheet'!Q604</f>
        <v>0</v>
      </c>
      <c r="D610" s="1055"/>
      <c r="E610" s="1131">
        <v>0</v>
      </c>
    </row>
    <row r="611" spans="1:5" x14ac:dyDescent="0.2">
      <c r="A611" s="384">
        <v>43125</v>
      </c>
      <c r="B611" s="375" t="s">
        <v>1387</v>
      </c>
      <c r="C611" s="1055">
        <f>'[15]Input Sheet'!Q605</f>
        <v>1.55033741</v>
      </c>
      <c r="D611" s="1055"/>
      <c r="E611" s="1131">
        <v>1.612659472</v>
      </c>
    </row>
    <row r="612" spans="1:5" x14ac:dyDescent="0.2">
      <c r="A612" s="384">
        <v>43126</v>
      </c>
      <c r="B612" s="375" t="s">
        <v>1388</v>
      </c>
      <c r="C612" s="1055">
        <f>'[15]Input Sheet'!Q606</f>
        <v>1.0560911660000001</v>
      </c>
      <c r="D612" s="1055"/>
      <c r="E612" s="1131">
        <v>1.196335629</v>
      </c>
    </row>
    <row r="613" spans="1:5" x14ac:dyDescent="0.2">
      <c r="A613" s="384">
        <v>43131</v>
      </c>
      <c r="B613" s="373" t="s">
        <v>1389</v>
      </c>
      <c r="C613" s="1055">
        <f>'[15]Input Sheet'!Q607</f>
        <v>0.256908462</v>
      </c>
      <c r="D613" s="1055"/>
      <c r="E613" s="1131">
        <v>0.173228508</v>
      </c>
    </row>
    <row r="614" spans="1:5" x14ac:dyDescent="0.2">
      <c r="A614" s="384">
        <v>43132</v>
      </c>
      <c r="B614" s="373" t="s">
        <v>1390</v>
      </c>
      <c r="C614" s="1055">
        <f>'[15]Input Sheet'!Q608</f>
        <v>6.945456E-3</v>
      </c>
      <c r="D614" s="1055"/>
      <c r="E614" s="1131">
        <v>4.4799999999999996E-3</v>
      </c>
    </row>
    <row r="615" spans="1:5" x14ac:dyDescent="0.2">
      <c r="A615" s="384">
        <v>43133</v>
      </c>
      <c r="B615" s="373" t="s">
        <v>1391</v>
      </c>
      <c r="C615" s="1055">
        <f>'[15]Input Sheet'!Q609</f>
        <v>0</v>
      </c>
      <c r="D615" s="1055"/>
      <c r="E615" s="1131">
        <v>1.6021639000000001E-2</v>
      </c>
    </row>
    <row r="616" spans="1:5" x14ac:dyDescent="0.2">
      <c r="A616" s="337">
        <v>43134</v>
      </c>
      <c r="B616" s="373" t="s">
        <v>1392</v>
      </c>
      <c r="C616" s="1055">
        <f>'[15]Input Sheet'!Q610</f>
        <v>59.184314821000001</v>
      </c>
      <c r="D616" s="1055"/>
      <c r="E616" s="1131">
        <v>67.375513112999997</v>
      </c>
    </row>
    <row r="617" spans="1:5" ht="25.5" x14ac:dyDescent="0.2">
      <c r="A617" s="384">
        <v>43135</v>
      </c>
      <c r="B617" s="375" t="s">
        <v>1393</v>
      </c>
      <c r="C617" s="1055">
        <f>'[15]Input Sheet'!Q611</f>
        <v>87.798107730999988</v>
      </c>
      <c r="D617" s="1055"/>
      <c r="E617" s="1131">
        <v>105.067176616</v>
      </c>
    </row>
    <row r="618" spans="1:5" x14ac:dyDescent="0.2">
      <c r="A618" s="384">
        <v>43136</v>
      </c>
      <c r="B618" s="375" t="s">
        <v>1394</v>
      </c>
      <c r="C618" s="1055">
        <f>'[15]Input Sheet'!Q612</f>
        <v>0.60724770400000005</v>
      </c>
      <c r="D618" s="1055"/>
      <c r="E618" s="1131">
        <v>0.70708203300000005</v>
      </c>
    </row>
    <row r="619" spans="1:5" x14ac:dyDescent="0.2">
      <c r="A619" s="384">
        <v>43137</v>
      </c>
      <c r="B619" s="373" t="s">
        <v>1395</v>
      </c>
      <c r="C619" s="1055">
        <f>'[15]Input Sheet'!Q613</f>
        <v>0</v>
      </c>
      <c r="D619" s="1055"/>
      <c r="E619" s="1131">
        <v>0</v>
      </c>
    </row>
    <row r="620" spans="1:5" x14ac:dyDescent="0.2">
      <c r="A620" s="384">
        <v>43138</v>
      </c>
      <c r="B620" s="373" t="s">
        <v>1396</v>
      </c>
      <c r="C620" s="1055">
        <f>'[15]Input Sheet'!Q614</f>
        <v>0.20894006000000001</v>
      </c>
      <c r="D620" s="1055"/>
      <c r="E620" s="1131">
        <v>0.25893961199999999</v>
      </c>
    </row>
    <row r="621" spans="1:5" x14ac:dyDescent="0.2">
      <c r="A621" s="384">
        <v>43139</v>
      </c>
      <c r="B621" s="373" t="s">
        <v>1397</v>
      </c>
      <c r="C621" s="1055">
        <f>'[15]Input Sheet'!Q615</f>
        <v>7.1146055E-2</v>
      </c>
      <c r="D621" s="1055"/>
      <c r="E621" s="1131">
        <v>8.1653847000000002E-2</v>
      </c>
    </row>
    <row r="622" spans="1:5" x14ac:dyDescent="0.2">
      <c r="A622" s="384">
        <v>43151</v>
      </c>
      <c r="B622" s="373" t="s">
        <v>1398</v>
      </c>
      <c r="C622" s="1055">
        <f>'[15]Input Sheet'!Q616</f>
        <v>4.8362300000000004E-3</v>
      </c>
      <c r="D622" s="1055"/>
      <c r="E622" s="1131">
        <v>0</v>
      </c>
    </row>
    <row r="623" spans="1:5" x14ac:dyDescent="0.2">
      <c r="A623" s="384">
        <v>43152</v>
      </c>
      <c r="B623" s="373" t="s">
        <v>1399</v>
      </c>
      <c r="C623" s="1055">
        <f>'[15]Input Sheet'!Q617</f>
        <v>0</v>
      </c>
      <c r="D623" s="1055"/>
      <c r="E623" s="1131">
        <v>9.2705900000000004E-4</v>
      </c>
    </row>
    <row r="624" spans="1:5" x14ac:dyDescent="0.2">
      <c r="A624" s="384">
        <v>43153</v>
      </c>
      <c r="B624" s="373" t="s">
        <v>1400</v>
      </c>
      <c r="C624" s="1055">
        <f>'[15]Input Sheet'!Q618</f>
        <v>0</v>
      </c>
      <c r="D624" s="1055"/>
      <c r="E624" s="1131">
        <v>0</v>
      </c>
    </row>
    <row r="625" spans="1:12" x14ac:dyDescent="0.2">
      <c r="A625" s="384">
        <v>43154</v>
      </c>
      <c r="B625" s="373" t="s">
        <v>1401</v>
      </c>
      <c r="C625" s="1055">
        <f>'[15]Input Sheet'!Q619</f>
        <v>0</v>
      </c>
      <c r="D625" s="1055"/>
      <c r="E625" s="1131">
        <v>3.5258400000000002E-2</v>
      </c>
    </row>
    <row r="626" spans="1:12" x14ac:dyDescent="0.2">
      <c r="A626" s="384">
        <v>43155</v>
      </c>
      <c r="B626" s="373" t="s">
        <v>1402</v>
      </c>
      <c r="C626" s="1055">
        <f>'[15]Input Sheet'!Q620</f>
        <v>8.4977166000000007E-2</v>
      </c>
      <c r="D626" s="1055"/>
      <c r="E626" s="1131">
        <v>4.5031951000000001E-2</v>
      </c>
    </row>
    <row r="627" spans="1:12" x14ac:dyDescent="0.2">
      <c r="A627" s="384">
        <v>43156</v>
      </c>
      <c r="B627" s="373" t="s">
        <v>1403</v>
      </c>
      <c r="C627" s="1055">
        <f>'[15]Input Sheet'!Q621</f>
        <v>0.17046778899999998</v>
      </c>
      <c r="D627" s="1055"/>
      <c r="E627" s="1131">
        <v>0.25306596400000003</v>
      </c>
    </row>
    <row r="628" spans="1:12" ht="25.5" x14ac:dyDescent="0.2">
      <c r="A628" s="384">
        <v>43300</v>
      </c>
      <c r="B628" s="375" t="s">
        <v>1404</v>
      </c>
      <c r="C628" s="1104">
        <f>'[15]Input Sheet'!Q622</f>
        <v>0.80761085799999999</v>
      </c>
      <c r="D628" s="1055"/>
      <c r="E628" s="1131">
        <v>0</v>
      </c>
    </row>
    <row r="629" spans="1:12" x14ac:dyDescent="0.2">
      <c r="A629" s="405"/>
      <c r="B629" s="424"/>
      <c r="C629" s="1152">
        <f>SUM(C575:C628)</f>
        <v>8102.969552442999</v>
      </c>
      <c r="D629" s="1074">
        <f>SUM(C575:C628)</f>
        <v>8102.969552442999</v>
      </c>
      <c r="E629" s="1152">
        <f>SUM(E575:E628)</f>
        <v>6651.4754589652011</v>
      </c>
      <c r="F629" s="1074">
        <f>SUM(E575:E628)</f>
        <v>6651.4754589652011</v>
      </c>
      <c r="G629" s="346"/>
    </row>
    <row r="630" spans="1:12" x14ac:dyDescent="0.2">
      <c r="A630" s="384"/>
      <c r="B630" s="324"/>
      <c r="C630" s="1055"/>
      <c r="D630" s="1060"/>
      <c r="E630" s="1098"/>
      <c r="F630" s="1134"/>
      <c r="G630" s="346"/>
    </row>
    <row r="631" spans="1:12" x14ac:dyDescent="0.2">
      <c r="A631" s="419" t="s">
        <v>42</v>
      </c>
      <c r="B631" s="420" t="s">
        <v>930</v>
      </c>
      <c r="C631" s="1108"/>
      <c r="D631" s="1076"/>
      <c r="L631" s="346"/>
    </row>
    <row r="632" spans="1:12" x14ac:dyDescent="0.2">
      <c r="A632" s="384"/>
      <c r="B632" s="374" t="s">
        <v>1405</v>
      </c>
      <c r="C632" s="1101"/>
      <c r="D632" s="1060"/>
    </row>
    <row r="633" spans="1:12" x14ac:dyDescent="0.2">
      <c r="A633" s="384">
        <v>99107</v>
      </c>
      <c r="B633" s="373" t="s">
        <v>1406</v>
      </c>
      <c r="C633" s="1101">
        <f>+'[15]Input Sheet'!Q1353-C667</f>
        <v>1.447476406</v>
      </c>
      <c r="D633" s="1055"/>
      <c r="E633" s="1131">
        <v>1.465976406</v>
      </c>
    </row>
    <row r="634" spans="1:12" x14ac:dyDescent="0.2">
      <c r="A634" s="384">
        <v>99116</v>
      </c>
      <c r="B634" s="373" t="s">
        <v>1296</v>
      </c>
      <c r="C634" s="1101">
        <f>+'[15]Input Sheet'!Q1359</f>
        <v>233.37045157199998</v>
      </c>
      <c r="D634" s="1055"/>
      <c r="E634" s="1131">
        <v>172.11178219999999</v>
      </c>
    </row>
    <row r="635" spans="1:12" x14ac:dyDescent="0.2">
      <c r="A635" s="384">
        <v>99117</v>
      </c>
      <c r="B635" s="373" t="s">
        <v>1297</v>
      </c>
      <c r="C635" s="1101">
        <f>+'[15]Input Sheet'!Q1360</f>
        <v>340.31573600000002</v>
      </c>
      <c r="D635" s="1055"/>
      <c r="E635" s="1131">
        <v>256.93584900000002</v>
      </c>
    </row>
    <row r="636" spans="1:12" x14ac:dyDescent="0.2">
      <c r="A636" s="384">
        <v>99118</v>
      </c>
      <c r="B636" s="373" t="s">
        <v>1298</v>
      </c>
      <c r="C636" s="1101">
        <f>+'[15]Input Sheet'!Q1361-C671-C670</f>
        <v>1046.0786700609999</v>
      </c>
      <c r="D636" s="1055"/>
      <c r="E636" s="1131">
        <v>1025.2597791759999</v>
      </c>
    </row>
    <row r="637" spans="1:12" x14ac:dyDescent="0.2">
      <c r="A637" s="384">
        <v>99212</v>
      </c>
      <c r="B637" s="373" t="s">
        <v>1407</v>
      </c>
      <c r="C637" s="1101">
        <f>+'[15]Input Sheet'!Q1374</f>
        <v>22.367998536000002</v>
      </c>
      <c r="D637" s="1055"/>
      <c r="E637" s="1131">
        <v>34.252775758999995</v>
      </c>
    </row>
    <row r="638" spans="1:12" x14ac:dyDescent="0.2">
      <c r="A638" s="384"/>
      <c r="B638" s="373"/>
      <c r="C638" s="1101"/>
      <c r="D638" s="1055"/>
    </row>
    <row r="639" spans="1:12" x14ac:dyDescent="0.2">
      <c r="A639" s="384">
        <v>46430</v>
      </c>
      <c r="B639" s="373" t="s">
        <v>1408</v>
      </c>
      <c r="C639" s="1101">
        <f>+'[15]Input Sheet'!Q650</f>
        <v>435.28291478999995</v>
      </c>
      <c r="D639" s="1055"/>
      <c r="E639" s="1131">
        <v>165.16178330399998</v>
      </c>
    </row>
    <row r="640" spans="1:12" x14ac:dyDescent="0.2">
      <c r="A640" s="384">
        <v>46990</v>
      </c>
      <c r="B640" s="373" t="s">
        <v>1409</v>
      </c>
      <c r="C640" s="1101">
        <f>+'[15]Input Sheet'!Q717</f>
        <v>6.1501480000000004E-2</v>
      </c>
      <c r="D640" s="1104"/>
      <c r="E640" s="1131">
        <v>0.18885647999999999</v>
      </c>
    </row>
    <row r="641" spans="1:7" x14ac:dyDescent="0.2">
      <c r="A641" s="384"/>
      <c r="B641" s="363"/>
      <c r="C641" s="1122">
        <f>SUM(C633:C640)</f>
        <v>2078.9247488449996</v>
      </c>
      <c r="D641" s="1055">
        <f>SUM(C633:C640)</f>
        <v>2078.9247488449996</v>
      </c>
      <c r="E641" s="1122">
        <f>SUM(E633:E640)</f>
        <v>1655.376802325</v>
      </c>
      <c r="F641" s="1055">
        <f>SUM(E633:E640)</f>
        <v>1655.376802325</v>
      </c>
      <c r="G641" s="346"/>
    </row>
    <row r="642" spans="1:7" x14ac:dyDescent="0.2">
      <c r="A642" s="384"/>
      <c r="B642" s="374" t="s">
        <v>450</v>
      </c>
      <c r="C642" s="1101"/>
      <c r="D642" s="1060"/>
    </row>
    <row r="643" spans="1:7" x14ac:dyDescent="0.2">
      <c r="A643" s="384">
        <v>99113</v>
      </c>
      <c r="B643" s="373" t="s">
        <v>1410</v>
      </c>
      <c r="C643" s="1101">
        <f>+'[15]Input Sheet'!Q1356-C668-C669</f>
        <v>125.363784776</v>
      </c>
      <c r="D643" s="1055"/>
      <c r="E643" s="1131">
        <v>97.688875756000002</v>
      </c>
    </row>
    <row r="644" spans="1:7" x14ac:dyDescent="0.2">
      <c r="A644" s="384">
        <v>99114</v>
      </c>
      <c r="B644" s="373" t="s">
        <v>1411</v>
      </c>
      <c r="C644" s="1101">
        <f>+'[15]Input Sheet'!Q1357</f>
        <v>96.241333319000006</v>
      </c>
      <c r="D644" s="1104"/>
      <c r="E644" s="1131">
        <v>82.127962187999998</v>
      </c>
    </row>
    <row r="645" spans="1:7" x14ac:dyDescent="0.2">
      <c r="A645" s="384"/>
      <c r="B645" s="363"/>
      <c r="C645" s="1122">
        <f>SUM(C643:C644)</f>
        <v>221.60511809500002</v>
      </c>
      <c r="D645" s="1055">
        <f>SUM(C643:C644)</f>
        <v>221.60511809500002</v>
      </c>
      <c r="E645" s="1122">
        <f>SUM(E643:E644)</f>
        <v>179.81683794399999</v>
      </c>
      <c r="F645" s="1055">
        <f>SUM(E643:E644)</f>
        <v>179.81683794399999</v>
      </c>
      <c r="G645" s="346"/>
    </row>
    <row r="646" spans="1:7" x14ac:dyDescent="0.2">
      <c r="A646" s="384"/>
      <c r="B646" s="378" t="s">
        <v>932</v>
      </c>
      <c r="C646" s="1093"/>
      <c r="D646" s="1060"/>
    </row>
    <row r="647" spans="1:7" x14ac:dyDescent="0.2">
      <c r="A647" s="384">
        <v>46701</v>
      </c>
      <c r="B647" s="373" t="s">
        <v>1412</v>
      </c>
      <c r="C647" s="1101">
        <f>+'[15]Input Sheet'!Q657</f>
        <v>13.0395278</v>
      </c>
      <c r="D647" s="1055"/>
      <c r="E647" s="1131">
        <v>13.6508678</v>
      </c>
    </row>
    <row r="648" spans="1:7" x14ac:dyDescent="0.2">
      <c r="A648" s="384">
        <v>46702</v>
      </c>
      <c r="B648" s="373" t="s">
        <v>1413</v>
      </c>
      <c r="C648" s="1101">
        <f>+'[15]Input Sheet'!Q658</f>
        <v>0</v>
      </c>
      <c r="D648" s="1055"/>
      <c r="E648" s="1131">
        <v>0</v>
      </c>
    </row>
    <row r="649" spans="1:7" x14ac:dyDescent="0.2">
      <c r="A649" s="384">
        <v>46703</v>
      </c>
      <c r="B649" s="373" t="s">
        <v>1414</v>
      </c>
      <c r="C649" s="1101">
        <f>+'[15]Input Sheet'!Q659</f>
        <v>0</v>
      </c>
      <c r="D649" s="1055"/>
      <c r="E649" s="1131">
        <v>0</v>
      </c>
    </row>
    <row r="650" spans="1:7" x14ac:dyDescent="0.2">
      <c r="A650" s="384">
        <v>46704</v>
      </c>
      <c r="B650" s="373" t="s">
        <v>1415</v>
      </c>
      <c r="C650" s="1101">
        <f>+'[15]Input Sheet'!Q660</f>
        <v>51.338448</v>
      </c>
      <c r="D650" s="1055"/>
      <c r="E650" s="1131">
        <v>164.2834431</v>
      </c>
    </row>
    <row r="651" spans="1:7" x14ac:dyDescent="0.2">
      <c r="A651" s="384">
        <v>46705</v>
      </c>
      <c r="B651" s="373" t="s">
        <v>1416</v>
      </c>
      <c r="C651" s="1101">
        <f>+'[15]Input Sheet'!Q661</f>
        <v>43.5531048</v>
      </c>
      <c r="D651" s="1055"/>
      <c r="E651" s="1131">
        <v>20.370124000000001</v>
      </c>
    </row>
    <row r="652" spans="1:7" x14ac:dyDescent="0.2">
      <c r="A652" s="384">
        <v>46751</v>
      </c>
      <c r="B652" s="373" t="s">
        <v>1417</v>
      </c>
      <c r="C652" s="1101">
        <f>+'[15]Input Sheet'!Q662</f>
        <v>0</v>
      </c>
      <c r="D652" s="1055"/>
      <c r="E652" s="1131">
        <v>0</v>
      </c>
    </row>
    <row r="653" spans="1:7" x14ac:dyDescent="0.2">
      <c r="A653" s="384">
        <v>46752</v>
      </c>
      <c r="B653" s="373" t="s">
        <v>1418</v>
      </c>
      <c r="C653" s="1101">
        <f>+'[15]Input Sheet'!Q663</f>
        <v>0</v>
      </c>
      <c r="D653" s="1055"/>
      <c r="E653" s="1131">
        <v>0</v>
      </c>
    </row>
    <row r="654" spans="1:7" x14ac:dyDescent="0.2">
      <c r="A654" s="384">
        <v>46753</v>
      </c>
      <c r="B654" s="373" t="s">
        <v>1419</v>
      </c>
      <c r="C654" s="1101">
        <f>+'[15]Input Sheet'!Q664</f>
        <v>0</v>
      </c>
      <c r="D654" s="1055"/>
      <c r="E654" s="1131">
        <v>0</v>
      </c>
    </row>
    <row r="655" spans="1:7" x14ac:dyDescent="0.2">
      <c r="A655" s="384">
        <v>46754</v>
      </c>
      <c r="B655" s="373" t="s">
        <v>1420</v>
      </c>
      <c r="C655" s="1101">
        <f>+'[15]Input Sheet'!Q665</f>
        <v>9.9999999999999995E-8</v>
      </c>
      <c r="D655" s="1055"/>
      <c r="E655" s="1131">
        <v>0</v>
      </c>
    </row>
    <row r="656" spans="1:7" x14ac:dyDescent="0.2">
      <c r="A656" s="384">
        <v>46755</v>
      </c>
      <c r="B656" s="373" t="s">
        <v>1421</v>
      </c>
      <c r="C656" s="1101">
        <f>+'[15]Input Sheet'!Q666</f>
        <v>0</v>
      </c>
      <c r="D656" s="1055"/>
      <c r="E656" s="1131">
        <v>0</v>
      </c>
    </row>
    <row r="657" spans="1:13" x14ac:dyDescent="0.2">
      <c r="A657" s="384"/>
      <c r="B657" s="373"/>
      <c r="C657" s="1076">
        <f>SUM(C647:C656)</f>
        <v>107.9310807</v>
      </c>
      <c r="D657" s="1076">
        <f>SUM(C647:C656)</f>
        <v>107.9310807</v>
      </c>
      <c r="E657" s="1076">
        <f>SUM(E647:E656)</f>
        <v>198.30443490000002</v>
      </c>
      <c r="F657" s="1076">
        <f>SUM(E647:E656)</f>
        <v>198.30443490000002</v>
      </c>
      <c r="G657" s="346"/>
      <c r="L657" s="346"/>
      <c r="M657" s="346"/>
    </row>
    <row r="658" spans="1:13" x14ac:dyDescent="0.2">
      <c r="A658" s="384">
        <v>46434</v>
      </c>
      <c r="B658" s="373" t="s">
        <v>908</v>
      </c>
      <c r="C658" s="1101"/>
      <c r="D658" s="1055">
        <f>'[15]Input Sheet'!Q654</f>
        <v>143.34015883641359</v>
      </c>
      <c r="F658" s="1131">
        <v>161.37657508971779</v>
      </c>
    </row>
    <row r="659" spans="1:13" x14ac:dyDescent="0.2">
      <c r="A659" s="384"/>
      <c r="B659" s="373"/>
      <c r="C659" s="1101"/>
      <c r="D659" s="1055"/>
    </row>
    <row r="660" spans="1:13" x14ac:dyDescent="0.2">
      <c r="A660" s="384">
        <v>99234</v>
      </c>
      <c r="B660" s="363" t="s">
        <v>933</v>
      </c>
      <c r="C660" s="1093"/>
      <c r="D660" s="1060">
        <f>'[15]Input Sheet'!Q1396</f>
        <v>109.202121408</v>
      </c>
      <c r="F660" s="1131">
        <v>113.757208968</v>
      </c>
      <c r="G660" s="346"/>
    </row>
    <row r="661" spans="1:13" x14ac:dyDescent="0.2">
      <c r="A661" s="384"/>
      <c r="B661" s="363"/>
      <c r="C661" s="1093"/>
      <c r="D661" s="1055"/>
      <c r="G661" s="346"/>
    </row>
    <row r="662" spans="1:13" x14ac:dyDescent="0.2">
      <c r="A662" s="384"/>
      <c r="B662" s="378" t="s">
        <v>934</v>
      </c>
      <c r="C662" s="1107"/>
      <c r="D662" s="1060"/>
    </row>
    <row r="663" spans="1:13" x14ac:dyDescent="0.2">
      <c r="A663" s="384">
        <v>99231</v>
      </c>
      <c r="B663" s="373" t="s">
        <v>1422</v>
      </c>
      <c r="C663" s="1101">
        <f>-G1488/10^7</f>
        <v>3.1053512170000004</v>
      </c>
      <c r="D663" s="1055"/>
      <c r="E663" s="1131">
        <v>6.7241359919999999</v>
      </c>
    </row>
    <row r="664" spans="1:13" x14ac:dyDescent="0.2">
      <c r="A664" s="384">
        <v>99231</v>
      </c>
      <c r="B664" s="373" t="s">
        <v>1423</v>
      </c>
      <c r="C664" s="1101">
        <f>-(G1477+G1483)/10^7</f>
        <v>550.091816558</v>
      </c>
      <c r="D664" s="1055"/>
      <c r="E664" s="1131">
        <v>548.19757828599995</v>
      </c>
    </row>
    <row r="665" spans="1:13" x14ac:dyDescent="0.2">
      <c r="A665" s="384">
        <v>99231</v>
      </c>
      <c r="B665" s="373" t="s">
        <v>1424</v>
      </c>
      <c r="C665" s="1101">
        <f>+G1496/10^7</f>
        <v>-0.85047459999999997</v>
      </c>
      <c r="D665" s="1055"/>
      <c r="E665" s="1131">
        <v>0.85047459999999997</v>
      </c>
    </row>
    <row r="666" spans="1:13" x14ac:dyDescent="0.2">
      <c r="A666" s="384">
        <v>99225</v>
      </c>
      <c r="B666" s="373" t="s">
        <v>1424</v>
      </c>
      <c r="C666" s="1101">
        <f>-G1493/10^7</f>
        <v>293.33038386300001</v>
      </c>
      <c r="D666" s="1055"/>
      <c r="E666" s="1131">
        <v>269.11503856299998</v>
      </c>
    </row>
    <row r="667" spans="1:13" ht="25.5" x14ac:dyDescent="0.2">
      <c r="A667" s="384">
        <v>99107</v>
      </c>
      <c r="B667" s="1111" t="s">
        <v>1425</v>
      </c>
      <c r="C667" s="1111">
        <f>-G1473/10^7</f>
        <v>0</v>
      </c>
      <c r="D667" s="1055"/>
      <c r="E667" s="1131">
        <v>0</v>
      </c>
    </row>
    <row r="668" spans="1:13" x14ac:dyDescent="0.2">
      <c r="A668" s="384">
        <v>99113</v>
      </c>
      <c r="B668" s="375" t="s">
        <v>1426</v>
      </c>
      <c r="C668" s="1082">
        <f>-(G1475+G1482)/10^7</f>
        <v>-6.0898999999999997E-3</v>
      </c>
      <c r="D668" s="1055"/>
      <c r="E668" s="1131">
        <v>-6.0898999999999997E-3</v>
      </c>
    </row>
    <row r="669" spans="1:13" x14ac:dyDescent="0.2">
      <c r="A669" s="384">
        <v>99113</v>
      </c>
      <c r="B669" s="375" t="s">
        <v>1427</v>
      </c>
      <c r="C669" s="1082">
        <f>-G1487/10^7</f>
        <v>0.5</v>
      </c>
      <c r="D669" s="1055"/>
      <c r="E669" s="1131">
        <v>0.5</v>
      </c>
    </row>
    <row r="670" spans="1:13" ht="25.5" x14ac:dyDescent="0.2">
      <c r="A670" s="384">
        <v>99118</v>
      </c>
      <c r="B670" s="1153" t="s">
        <v>1428</v>
      </c>
      <c r="C670" s="1154">
        <f>-G1494/10^7</f>
        <v>-0.5</v>
      </c>
      <c r="D670" s="1055"/>
    </row>
    <row r="671" spans="1:13" ht="25.5" x14ac:dyDescent="0.2">
      <c r="A671" s="384">
        <v>99118</v>
      </c>
      <c r="B671" s="375" t="s">
        <v>1429</v>
      </c>
      <c r="C671" s="1082">
        <f>-G1476/10^7</f>
        <v>0.14950869999999999</v>
      </c>
      <c r="D671" s="1055"/>
      <c r="E671" s="1131">
        <v>0.14950869999999999</v>
      </c>
    </row>
    <row r="672" spans="1:13" x14ac:dyDescent="0.2">
      <c r="A672" s="384"/>
      <c r="B672" s="373"/>
      <c r="C672" s="1076">
        <f>SUM(C663:C671)</f>
        <v>845.82049583800006</v>
      </c>
      <c r="D672" s="1076">
        <f>SUM(C663:C671)</f>
        <v>845.82049583800006</v>
      </c>
      <c r="E672" s="1076">
        <f>SUM(E663:E671)</f>
        <v>825.53064624099989</v>
      </c>
      <c r="F672" s="1076">
        <f>SUM(E663:E671)</f>
        <v>825.53064624099989</v>
      </c>
      <c r="G672" s="346"/>
    </row>
    <row r="673" spans="1:8" x14ac:dyDescent="0.2">
      <c r="A673" s="384">
        <v>46433</v>
      </c>
      <c r="B673" s="373" t="s">
        <v>935</v>
      </c>
      <c r="C673" s="1101">
        <f>'[15]Input Sheet'!Q653</f>
        <v>223.98553004099998</v>
      </c>
      <c r="D673" s="1055"/>
      <c r="E673" s="1131">
        <v>172.41592859100001</v>
      </c>
    </row>
    <row r="674" spans="1:8" x14ac:dyDescent="0.2">
      <c r="A674" s="384">
        <v>46977</v>
      </c>
      <c r="B674" s="373" t="s">
        <v>451</v>
      </c>
      <c r="C674" s="1101">
        <f>'[15]Input Sheet'!Q716</f>
        <v>487.7325586</v>
      </c>
      <c r="D674" s="1055"/>
      <c r="E674" s="1131">
        <v>388.24378400000001</v>
      </c>
    </row>
    <row r="675" spans="1:8" x14ac:dyDescent="0.2">
      <c r="A675" s="384"/>
      <c r="B675" s="378" t="s">
        <v>397</v>
      </c>
      <c r="C675" s="1093"/>
      <c r="D675" s="1060"/>
    </row>
    <row r="676" spans="1:8" x14ac:dyDescent="0.2">
      <c r="A676" s="337">
        <v>46301</v>
      </c>
      <c r="B676" s="373" t="s">
        <v>1430</v>
      </c>
      <c r="C676" s="1101">
        <f>+'[15]Input Sheet'!Q648</f>
        <v>0</v>
      </c>
      <c r="D676" s="1055"/>
      <c r="E676" s="1131">
        <v>0</v>
      </c>
    </row>
    <row r="677" spans="1:8" x14ac:dyDescent="0.2">
      <c r="A677" s="384">
        <v>46450</v>
      </c>
      <c r="B677" s="373" t="s">
        <v>1431</v>
      </c>
      <c r="C677" s="1101">
        <f>+'[15]Input Sheet'!Q656</f>
        <v>0</v>
      </c>
      <c r="D677" s="1055"/>
      <c r="E677" s="1131">
        <v>0</v>
      </c>
    </row>
    <row r="678" spans="1:8" ht="25.5" x14ac:dyDescent="0.2">
      <c r="A678" s="384">
        <v>46440</v>
      </c>
      <c r="B678" s="375" t="s">
        <v>1432</v>
      </c>
      <c r="C678" s="1082">
        <f>'[15]Input Sheet'!Q655</f>
        <v>2.5797696989999999</v>
      </c>
      <c r="D678" s="1055"/>
      <c r="E678" s="1131">
        <v>2.340666659</v>
      </c>
    </row>
    <row r="679" spans="1:8" x14ac:dyDescent="0.2">
      <c r="A679" s="384">
        <v>46951</v>
      </c>
      <c r="B679" s="373" t="s">
        <v>1433</v>
      </c>
      <c r="C679" s="1101">
        <f>'[15]Input Sheet'!Q709</f>
        <v>0</v>
      </c>
      <c r="D679" s="1104"/>
      <c r="E679" s="1131">
        <v>0</v>
      </c>
    </row>
    <row r="680" spans="1:8" x14ac:dyDescent="0.2">
      <c r="A680" s="384"/>
      <c r="B680" s="373"/>
      <c r="C680" s="1076">
        <f>SUM(C676:C679)</f>
        <v>2.5797696989999999</v>
      </c>
      <c r="D680" s="1055">
        <f>SUM(C676:C679)</f>
        <v>2.5797696989999999</v>
      </c>
      <c r="E680" s="1076">
        <f>SUM(E676:E679)</f>
        <v>2.340666659</v>
      </c>
      <c r="F680" s="1055">
        <f>SUM(E676:E679)</f>
        <v>2.340666659</v>
      </c>
      <c r="G680" s="346"/>
    </row>
    <row r="681" spans="1:8" x14ac:dyDescent="0.2">
      <c r="A681" s="384"/>
      <c r="B681" s="373"/>
      <c r="C681" s="1101"/>
      <c r="D681" s="1055"/>
    </row>
    <row r="682" spans="1:8" x14ac:dyDescent="0.2">
      <c r="A682" s="384"/>
      <c r="B682" s="378" t="s">
        <v>936</v>
      </c>
      <c r="C682" s="1093"/>
      <c r="D682" s="1060"/>
    </row>
    <row r="683" spans="1:8" x14ac:dyDescent="0.2">
      <c r="A683" s="384">
        <v>99232</v>
      </c>
      <c r="B683" s="373" t="s">
        <v>1434</v>
      </c>
      <c r="C683" s="1055">
        <f>'[15]Input Sheet'!Q1394</f>
        <v>1.5216538119999998</v>
      </c>
      <c r="D683" s="1055"/>
      <c r="E683" s="1131">
        <v>0.90325557599999995</v>
      </c>
      <c r="F683" s="1155"/>
      <c r="G683"/>
      <c r="H683" s="425"/>
    </row>
    <row r="684" spans="1:8" x14ac:dyDescent="0.2">
      <c r="A684" s="384">
        <v>44220</v>
      </c>
      <c r="B684" s="373" t="s">
        <v>1435</v>
      </c>
      <c r="C684" s="1055">
        <f>'[15]Input Sheet'!Q624</f>
        <v>0</v>
      </c>
      <c r="D684" s="1055"/>
      <c r="E684" s="1131">
        <v>0</v>
      </c>
      <c r="F684" s="1155"/>
      <c r="G684"/>
      <c r="H684" s="425"/>
    </row>
    <row r="685" spans="1:8" x14ac:dyDescent="0.2">
      <c r="A685" s="384">
        <v>44402</v>
      </c>
      <c r="B685" s="373" t="s">
        <v>1436</v>
      </c>
      <c r="C685" s="1055">
        <f>'[15]Input Sheet'!Q627</f>
        <v>0</v>
      </c>
      <c r="D685" s="1055"/>
      <c r="E685" s="1131">
        <v>0</v>
      </c>
      <c r="F685" s="1155"/>
      <c r="G685"/>
      <c r="H685" s="425"/>
    </row>
    <row r="686" spans="1:8" x14ac:dyDescent="0.2">
      <c r="A686" s="384">
        <v>44404</v>
      </c>
      <c r="B686" s="373" t="s">
        <v>1437</v>
      </c>
      <c r="C686" s="1055">
        <f>'[15]Input Sheet'!Q628</f>
        <v>0</v>
      </c>
      <c r="D686" s="1055"/>
      <c r="E686" s="1131">
        <v>0</v>
      </c>
      <c r="F686" s="1155"/>
      <c r="G686"/>
      <c r="H686" s="425"/>
    </row>
    <row r="687" spans="1:8" x14ac:dyDescent="0.2">
      <c r="A687" s="384">
        <v>44405</v>
      </c>
      <c r="B687" s="373" t="s">
        <v>1438</v>
      </c>
      <c r="C687" s="1055">
        <f>'[15]Input Sheet'!Q629</f>
        <v>0</v>
      </c>
      <c r="D687" s="1055"/>
      <c r="E687" s="1131">
        <v>0.2347447</v>
      </c>
      <c r="F687" s="1155"/>
      <c r="G687"/>
      <c r="H687" s="425"/>
    </row>
    <row r="688" spans="1:8" x14ac:dyDescent="0.2">
      <c r="A688" s="384">
        <v>44406</v>
      </c>
      <c r="B688" s="373" t="s">
        <v>1439</v>
      </c>
      <c r="C688" s="1055">
        <f>'[15]Input Sheet'!Q630</f>
        <v>1.3970186</v>
      </c>
      <c r="D688" s="1055"/>
      <c r="E688" s="1131">
        <v>1.2612184</v>
      </c>
      <c r="F688" s="1155"/>
      <c r="G688"/>
      <c r="H688" s="425"/>
    </row>
    <row r="689" spans="1:8" x14ac:dyDescent="0.2">
      <c r="A689" s="384">
        <v>44408</v>
      </c>
      <c r="B689" s="373" t="s">
        <v>1440</v>
      </c>
      <c r="C689" s="1055">
        <f>'[15]Input Sheet'!Q632</f>
        <v>2.7799999999999999E-3</v>
      </c>
      <c r="D689" s="1055"/>
      <c r="E689" s="1131">
        <v>2.98E-3</v>
      </c>
      <c r="F689" s="1155"/>
      <c r="G689"/>
      <c r="H689" s="425"/>
    </row>
    <row r="690" spans="1:8" x14ac:dyDescent="0.2">
      <c r="A690" s="384">
        <v>44409</v>
      </c>
      <c r="B690" s="373" t="s">
        <v>1441</v>
      </c>
      <c r="C690" s="1055">
        <f>'[15]Input Sheet'!Q633</f>
        <v>13.467218965000001</v>
      </c>
      <c r="D690" s="1055"/>
      <c r="E690" s="1131">
        <v>12.261952465</v>
      </c>
      <c r="F690" s="1155"/>
      <c r="G690"/>
      <c r="H690" s="425"/>
    </row>
    <row r="691" spans="1:8" x14ac:dyDescent="0.2">
      <c r="A691" s="384">
        <v>44410</v>
      </c>
      <c r="B691" s="373" t="s">
        <v>1442</v>
      </c>
      <c r="C691" s="1055">
        <f>'[15]Input Sheet'!Q634</f>
        <v>0</v>
      </c>
      <c r="D691" s="1055"/>
      <c r="E691" s="1131">
        <v>8.5620999999999996E-3</v>
      </c>
      <c r="F691" s="1155"/>
      <c r="G691"/>
      <c r="H691" s="425"/>
    </row>
    <row r="692" spans="1:8" x14ac:dyDescent="0.2">
      <c r="A692" s="384">
        <v>44413</v>
      </c>
      <c r="B692" s="373" t="s">
        <v>1443</v>
      </c>
      <c r="C692" s="1055">
        <f>'[15]Input Sheet'!Q635</f>
        <v>8.0587071120000004</v>
      </c>
      <c r="D692" s="1055"/>
      <c r="E692" s="1131">
        <v>9.1209131360000004</v>
      </c>
      <c r="F692" s="1155"/>
      <c r="G692"/>
      <c r="H692" s="425"/>
    </row>
    <row r="693" spans="1:8" x14ac:dyDescent="0.2">
      <c r="A693" s="384">
        <v>44414</v>
      </c>
      <c r="B693" s="373" t="s">
        <v>1444</v>
      </c>
      <c r="C693" s="1055">
        <f>'[15]Input Sheet'!Q636</f>
        <v>-0.13634497300000001</v>
      </c>
      <c r="D693" s="1055"/>
      <c r="E693" s="1131">
        <v>-8.5252211999999994E-2</v>
      </c>
      <c r="F693" s="1155"/>
      <c r="G693"/>
      <c r="H693" s="425"/>
    </row>
    <row r="694" spans="1:8" x14ac:dyDescent="0.2">
      <c r="A694" s="384">
        <v>44417</v>
      </c>
      <c r="B694" s="373" t="s">
        <v>1445</v>
      </c>
      <c r="C694" s="1055">
        <f>'[15]Input Sheet'!Q637</f>
        <v>7.1564000000000003E-2</v>
      </c>
      <c r="D694" s="1055"/>
      <c r="E694" s="1131">
        <v>7.3247999999999994E-2</v>
      </c>
      <c r="F694" s="1155"/>
      <c r="G694"/>
      <c r="H694" s="425"/>
    </row>
    <row r="695" spans="1:8" x14ac:dyDescent="0.2">
      <c r="A695" s="384">
        <v>44418</v>
      </c>
      <c r="B695" s="373" t="s">
        <v>1446</v>
      </c>
      <c r="C695" s="1055">
        <f>'[15]Input Sheet'!Q638</f>
        <v>6.5560000000000002E-3</v>
      </c>
      <c r="D695" s="1055"/>
      <c r="E695" s="1131">
        <v>7.6834E-3</v>
      </c>
      <c r="F695" s="1155"/>
      <c r="G695"/>
      <c r="H695" s="425"/>
    </row>
    <row r="696" spans="1:8" x14ac:dyDescent="0.2">
      <c r="A696" s="384">
        <v>44419</v>
      </c>
      <c r="B696" s="373" t="s">
        <v>1447</v>
      </c>
      <c r="C696" s="1055">
        <f>'[15]Input Sheet'!Q639</f>
        <v>0</v>
      </c>
      <c r="D696" s="1055"/>
      <c r="E696" s="1131">
        <v>0</v>
      </c>
      <c r="F696" s="1155"/>
      <c r="G696"/>
      <c r="H696" s="425"/>
    </row>
    <row r="697" spans="1:8" x14ac:dyDescent="0.2">
      <c r="A697" s="384">
        <v>44420</v>
      </c>
      <c r="B697" s="373" t="s">
        <v>1448</v>
      </c>
      <c r="C697" s="1055">
        <f>'[15]Input Sheet'!Q640</f>
        <v>0</v>
      </c>
      <c r="D697" s="1055"/>
      <c r="E697" s="1131">
        <v>0</v>
      </c>
      <c r="F697" s="1155"/>
      <c r="G697"/>
      <c r="H697" s="425"/>
    </row>
    <row r="698" spans="1:8" x14ac:dyDescent="0.2">
      <c r="A698" s="384">
        <v>44429</v>
      </c>
      <c r="B698" s="375" t="s">
        <v>1449</v>
      </c>
      <c r="C698" s="1055">
        <f>'[15]Input Sheet'!Q641</f>
        <v>1.0301036990000001</v>
      </c>
      <c r="D698" s="1055"/>
      <c r="E698" s="1131">
        <v>1.0146230270000001</v>
      </c>
      <c r="F698" s="1155"/>
      <c r="G698"/>
      <c r="H698" s="425"/>
    </row>
    <row r="699" spans="1:8" x14ac:dyDescent="0.2">
      <c r="A699" s="384">
        <v>44430</v>
      </c>
      <c r="B699" s="373" t="s">
        <v>1450</v>
      </c>
      <c r="C699" s="1055">
        <f>'[15]Input Sheet'!Q642</f>
        <v>2.5473099999999999E-2</v>
      </c>
      <c r="D699" s="1055"/>
      <c r="E699" s="1131">
        <v>2.9584484000000001E-2</v>
      </c>
      <c r="F699" s="1155"/>
      <c r="G699"/>
      <c r="H699" s="425"/>
    </row>
    <row r="700" spans="1:8" x14ac:dyDescent="0.2">
      <c r="A700" s="384">
        <v>44431</v>
      </c>
      <c r="B700" s="375" t="s">
        <v>1451</v>
      </c>
      <c r="C700" s="1055">
        <f>'[15]Input Sheet'!Q643</f>
        <v>0</v>
      </c>
      <c r="D700" s="1055"/>
      <c r="E700" s="1131">
        <v>-5.5393499999999998E-2</v>
      </c>
      <c r="F700" s="1155"/>
      <c r="G700"/>
      <c r="H700" s="425"/>
    </row>
    <row r="701" spans="1:8" x14ac:dyDescent="0.2">
      <c r="A701" s="384">
        <v>44432</v>
      </c>
      <c r="B701" s="373" t="s">
        <v>1452</v>
      </c>
      <c r="C701" s="1055">
        <f>'[15]Input Sheet'!Q644</f>
        <v>-6.4999999999999994E-5</v>
      </c>
      <c r="D701" s="1055"/>
      <c r="E701" s="1131">
        <v>1.0885000000000001E-3</v>
      </c>
      <c r="F701" s="1155"/>
      <c r="G701"/>
      <c r="H701" s="425"/>
    </row>
    <row r="702" spans="1:8" x14ac:dyDescent="0.2">
      <c r="A702" s="384">
        <v>44433</v>
      </c>
      <c r="B702" s="375" t="s">
        <v>1453</v>
      </c>
      <c r="C702" s="1055">
        <f>'[15]Input Sheet'!Q645</f>
        <v>0</v>
      </c>
      <c r="D702" s="1055"/>
      <c r="E702" s="1131">
        <v>0</v>
      </c>
    </row>
    <row r="703" spans="1:8" x14ac:dyDescent="0.2">
      <c r="A703" s="384">
        <v>44434</v>
      </c>
      <c r="B703" s="373" t="s">
        <v>1454</v>
      </c>
      <c r="C703" s="1055">
        <f>'[15]Input Sheet'!Q646</f>
        <v>22.611454511000002</v>
      </c>
      <c r="D703" s="1055"/>
      <c r="E703" s="1131">
        <v>19.753223506000001</v>
      </c>
    </row>
    <row r="704" spans="1:8" x14ac:dyDescent="0.2">
      <c r="A704" s="337">
        <v>46432</v>
      </c>
      <c r="B704" s="373" t="s">
        <v>1455</v>
      </c>
      <c r="C704" s="1055">
        <f>'[15]Input Sheet'!Q652</f>
        <v>11.092862007999999</v>
      </c>
      <c r="D704" s="1055"/>
      <c r="E704" s="1131">
        <v>46.387674648000001</v>
      </c>
    </row>
    <row r="705" spans="1:13" x14ac:dyDescent="0.2">
      <c r="A705" s="384">
        <v>57150</v>
      </c>
      <c r="B705" s="373" t="s">
        <v>1456</v>
      </c>
      <c r="C705" s="1055">
        <f>'[15]Input Sheet'!Q1045</f>
        <v>5.526269396</v>
      </c>
      <c r="D705" s="1055"/>
      <c r="E705" s="1131">
        <v>5.5893729959999998</v>
      </c>
    </row>
    <row r="706" spans="1:13" x14ac:dyDescent="0.2">
      <c r="A706" s="384">
        <v>46953</v>
      </c>
      <c r="B706" s="373" t="s">
        <v>1233</v>
      </c>
      <c r="C706" s="1055">
        <f>+IF(('[15]Input Sheet'!Q710&lt;0), 0, '[15]Input Sheet'!Q710)</f>
        <v>31.485594899999999</v>
      </c>
      <c r="D706" s="1055"/>
      <c r="E706" s="1131">
        <v>68.459989199999995</v>
      </c>
    </row>
    <row r="707" spans="1:13" x14ac:dyDescent="0.2">
      <c r="A707" s="384">
        <v>46954</v>
      </c>
      <c r="B707" s="373" t="s">
        <v>1457</v>
      </c>
      <c r="C707" s="1055">
        <f>+'[15]Input Sheet'!Q711</f>
        <v>3.5000000000000001E-3</v>
      </c>
      <c r="D707" s="1055"/>
      <c r="E707" s="1131">
        <v>1.65124E-2</v>
      </c>
    </row>
    <row r="708" spans="1:13" x14ac:dyDescent="0.2">
      <c r="A708" s="384"/>
      <c r="B708" s="324"/>
      <c r="C708" s="1148">
        <f>SUM(C683:C707)</f>
        <v>96.164346129999998</v>
      </c>
      <c r="D708" s="1148">
        <f>SUM(C683:C707)</f>
        <v>96.164346129999998</v>
      </c>
      <c r="E708" s="1148">
        <f>SUM(E683:E707)</f>
        <v>164.985980826</v>
      </c>
      <c r="F708" s="1148">
        <f>SUM(E683:E707)</f>
        <v>164.985980826</v>
      </c>
    </row>
    <row r="709" spans="1:13" x14ac:dyDescent="0.2">
      <c r="A709" s="405"/>
      <c r="B709" s="392"/>
      <c r="C709" s="1120"/>
      <c r="D709" s="1074">
        <f>D708+D680+D672+D660+D658+D657+D645+D641+D542</f>
        <v>6614.2661682119815</v>
      </c>
      <c r="E709" s="1120"/>
      <c r="F709" s="1074">
        <f>F708+F680+F672+F660+F658+F657+F645+F641+F542</f>
        <v>6888.1906951318851</v>
      </c>
      <c r="G709" s="346"/>
      <c r="H709" s="346"/>
      <c r="I709" s="346"/>
      <c r="J709" s="346"/>
      <c r="L709" s="346"/>
    </row>
    <row r="710" spans="1:13" x14ac:dyDescent="0.2">
      <c r="B710" s="426"/>
      <c r="C710" s="1156"/>
      <c r="D710" s="1134"/>
      <c r="E710" s="1146"/>
      <c r="F710" s="1146"/>
      <c r="G710" s="346"/>
      <c r="H710" s="346"/>
      <c r="I710" s="346"/>
      <c r="J710" s="346"/>
      <c r="L710" s="346"/>
    </row>
    <row r="711" spans="1:13" x14ac:dyDescent="0.2">
      <c r="A711" s="419" t="s">
        <v>1458</v>
      </c>
      <c r="B711" s="409" t="s">
        <v>23</v>
      </c>
      <c r="C711" s="1135"/>
      <c r="D711" s="1079"/>
      <c r="E711" s="1146"/>
      <c r="F711" s="1146"/>
      <c r="G711" s="346"/>
      <c r="H711" s="346"/>
      <c r="I711" s="346"/>
      <c r="J711" s="346"/>
      <c r="K711" s="346"/>
      <c r="L711" s="346"/>
      <c r="M711" s="346"/>
    </row>
    <row r="712" spans="1:13" ht="14.25" x14ac:dyDescent="0.2">
      <c r="A712" s="400"/>
      <c r="B712" s="283" t="s">
        <v>453</v>
      </c>
      <c r="C712" s="1107"/>
      <c r="D712" s="1060"/>
      <c r="E712" s="1146"/>
      <c r="F712" s="1146"/>
      <c r="G712" s="346"/>
      <c r="H712" s="346"/>
      <c r="I712" s="346"/>
      <c r="J712" s="346"/>
      <c r="K712" s="346"/>
      <c r="L712" s="346"/>
      <c r="M712" s="346"/>
    </row>
    <row r="713" spans="1:13" ht="14.25" x14ac:dyDescent="0.2">
      <c r="A713" s="384">
        <f>+'[15]Input Sheet'!D1037</f>
        <v>55101</v>
      </c>
      <c r="B713" s="283" t="s">
        <v>1291</v>
      </c>
      <c r="C713" s="1107">
        <f>+'[15]Input Sheet'!Q1037</f>
        <v>0.22439999999999999</v>
      </c>
      <c r="D713" s="1060"/>
      <c r="E713" s="1146">
        <v>0</v>
      </c>
      <c r="F713" s="1146"/>
      <c r="G713" s="346"/>
      <c r="H713" s="346"/>
      <c r="I713" s="346"/>
      <c r="J713" s="346"/>
      <c r="K713" s="346"/>
      <c r="L713" s="346"/>
      <c r="M713" s="346"/>
    </row>
    <row r="714" spans="1:13" ht="14.25" x14ac:dyDescent="0.2">
      <c r="A714" s="384">
        <f>+'[15]Input Sheet'!D1038</f>
        <v>55102</v>
      </c>
      <c r="B714" s="283" t="s">
        <v>1292</v>
      </c>
      <c r="C714" s="1107">
        <f>+'[15]Input Sheet'!Q1038</f>
        <v>0</v>
      </c>
      <c r="D714" s="1060"/>
      <c r="E714" s="1146">
        <v>0</v>
      </c>
      <c r="F714" s="1146"/>
      <c r="G714" s="346"/>
      <c r="H714" s="346"/>
      <c r="I714" s="346"/>
      <c r="J714" s="346"/>
      <c r="K714" s="346"/>
      <c r="L714" s="346"/>
      <c r="M714" s="346"/>
    </row>
    <row r="715" spans="1:13" ht="14.25" x14ac:dyDescent="0.2">
      <c r="A715" s="384">
        <f>+'[15]Input Sheet'!D1039</f>
        <v>55103</v>
      </c>
      <c r="B715" s="283" t="s">
        <v>1293</v>
      </c>
      <c r="C715" s="1107">
        <f>+'[15]Input Sheet'!Q1039</f>
        <v>18</v>
      </c>
      <c r="D715" s="1060"/>
      <c r="E715" s="1146">
        <v>6</v>
      </c>
      <c r="F715" s="1146"/>
      <c r="G715" s="346"/>
      <c r="H715" s="346"/>
      <c r="I715" s="346"/>
      <c r="J715" s="346"/>
      <c r="K715" s="346"/>
      <c r="L715" s="346"/>
      <c r="M715" s="346"/>
    </row>
    <row r="716" spans="1:13" ht="14.25" x14ac:dyDescent="0.2">
      <c r="A716" s="384">
        <f>+'[15]Input Sheet'!D1040</f>
        <v>55104</v>
      </c>
      <c r="B716" s="283" t="s">
        <v>1294</v>
      </c>
      <c r="C716" s="1107">
        <f>+'[15]Input Sheet'!Q1040</f>
        <v>0</v>
      </c>
      <c r="D716" s="1060"/>
      <c r="E716" s="1146">
        <v>0</v>
      </c>
      <c r="F716" s="1146"/>
      <c r="G716" s="346"/>
      <c r="H716" s="346"/>
      <c r="I716" s="346"/>
      <c r="J716" s="346"/>
      <c r="K716" s="346"/>
      <c r="L716" s="346"/>
      <c r="M716" s="346"/>
    </row>
    <row r="717" spans="1:13" x14ac:dyDescent="0.2">
      <c r="A717" s="384">
        <f>+'[15]Input Sheet'!D1041</f>
        <v>55105</v>
      </c>
      <c r="B717" s="384" t="s">
        <v>1295</v>
      </c>
      <c r="C717" s="1107">
        <f>+'[15]Input Sheet'!Q1041</f>
        <v>63.462499999999999</v>
      </c>
      <c r="D717" s="1060"/>
      <c r="E717" s="1146">
        <v>30.905000000000001</v>
      </c>
      <c r="F717" s="1146"/>
      <c r="G717" s="346"/>
      <c r="H717" s="346"/>
      <c r="I717" s="346"/>
      <c r="J717" s="346"/>
      <c r="K717" s="346"/>
      <c r="L717" s="346"/>
      <c r="M717" s="346"/>
    </row>
    <row r="718" spans="1:13" x14ac:dyDescent="0.2">
      <c r="A718" s="385">
        <f>+'[15]Input Sheet'!D1042</f>
        <v>55106</v>
      </c>
      <c r="B718" s="404" t="s">
        <v>912</v>
      </c>
      <c r="C718" s="1107">
        <f>+'[15]Input Sheet'!Q1042</f>
        <v>0</v>
      </c>
      <c r="D718" s="1060"/>
      <c r="E718" s="1146"/>
      <c r="F718" s="1146"/>
      <c r="G718" s="346"/>
      <c r="H718" s="346"/>
      <c r="I718" s="346"/>
      <c r="J718" s="346"/>
      <c r="K718" s="346"/>
      <c r="L718" s="346"/>
      <c r="M718" s="346"/>
    </row>
    <row r="719" spans="1:13" x14ac:dyDescent="0.2">
      <c r="A719" s="400"/>
      <c r="B719" s="378"/>
      <c r="C719" s="1135"/>
      <c r="D719" s="1079">
        <f>+SUM(C713:C718)</f>
        <v>81.686899999999994</v>
      </c>
      <c r="E719" s="1146"/>
      <c r="F719" s="1079">
        <f>+SUM(E713:E718)</f>
        <v>36.905000000000001</v>
      </c>
      <c r="G719" s="346"/>
      <c r="H719" s="346"/>
      <c r="I719" s="346"/>
      <c r="J719" s="346"/>
      <c r="K719" s="346"/>
      <c r="L719" s="346"/>
      <c r="M719" s="346"/>
    </row>
    <row r="720" spans="1:13" x14ac:dyDescent="0.2">
      <c r="A720" s="384"/>
      <c r="B720" s="378" t="s">
        <v>938</v>
      </c>
      <c r="C720" s="1107"/>
      <c r="D720" s="1055"/>
    </row>
    <row r="721" spans="1:7" x14ac:dyDescent="0.2">
      <c r="A721" s="384"/>
      <c r="B721" s="378" t="s">
        <v>454</v>
      </c>
      <c r="C721" s="1107"/>
      <c r="D721" s="1060"/>
      <c r="G721" s="346"/>
    </row>
    <row r="722" spans="1:7" x14ac:dyDescent="0.2">
      <c r="A722" s="384">
        <v>44401</v>
      </c>
      <c r="B722" s="373" t="s">
        <v>1459</v>
      </c>
      <c r="C722" s="1055">
        <f>'[15]Input Sheet'!Q626</f>
        <v>19.470870300000001</v>
      </c>
      <c r="D722" s="1055"/>
      <c r="E722" s="1131">
        <v>21.988574499999999</v>
      </c>
    </row>
    <row r="723" spans="1:7" x14ac:dyDescent="0.2">
      <c r="A723" s="384">
        <v>46801</v>
      </c>
      <c r="B723" s="373" t="s">
        <v>1460</v>
      </c>
      <c r="C723" s="1055">
        <f>'[15]Input Sheet'!Q668</f>
        <v>0</v>
      </c>
      <c r="D723" s="1055"/>
      <c r="E723" s="1131">
        <v>0</v>
      </c>
    </row>
    <row r="724" spans="1:7" x14ac:dyDescent="0.2">
      <c r="A724" s="384">
        <v>46802</v>
      </c>
      <c r="B724" s="373" t="s">
        <v>1461</v>
      </c>
      <c r="C724" s="1055">
        <f>'[15]Input Sheet'!Q669</f>
        <v>0</v>
      </c>
      <c r="D724" s="1055"/>
      <c r="E724" s="1131">
        <v>0</v>
      </c>
    </row>
    <row r="725" spans="1:7" x14ac:dyDescent="0.2">
      <c r="A725" s="384">
        <v>46803</v>
      </c>
      <c r="B725" s="373" t="s">
        <v>1462</v>
      </c>
      <c r="C725" s="1055">
        <f>'[15]Input Sheet'!Q670</f>
        <v>4.3370850000000001</v>
      </c>
      <c r="D725" s="1055"/>
      <c r="E725" s="1131">
        <v>3.9529906000000001</v>
      </c>
    </row>
    <row r="726" spans="1:7" x14ac:dyDescent="0.2">
      <c r="A726" s="384">
        <v>46804</v>
      </c>
      <c r="B726" s="373" t="s">
        <v>1463</v>
      </c>
      <c r="C726" s="1055">
        <f>'[15]Input Sheet'!Q671</f>
        <v>5.4462000000000003E-2</v>
      </c>
      <c r="D726" s="1055"/>
      <c r="E726" s="1131">
        <v>2.1356300000000002E-2</v>
      </c>
    </row>
    <row r="727" spans="1:7" x14ac:dyDescent="0.2">
      <c r="A727" s="384">
        <v>46805</v>
      </c>
      <c r="B727" s="373" t="s">
        <v>1464</v>
      </c>
      <c r="C727" s="1055">
        <f>'[15]Input Sheet'!Q672</f>
        <v>1.2110301999999999</v>
      </c>
      <c r="D727" s="1055"/>
      <c r="E727" s="1131">
        <v>1.2236294000000001</v>
      </c>
    </row>
    <row r="728" spans="1:7" x14ac:dyDescent="0.2">
      <c r="A728" s="384">
        <v>46806</v>
      </c>
      <c r="B728" s="373" t="s">
        <v>1465</v>
      </c>
      <c r="C728" s="1055">
        <f>'[15]Input Sheet'!Q673</f>
        <v>1.94019E-2</v>
      </c>
      <c r="D728" s="1055"/>
      <c r="E728" s="1131">
        <v>1.1712800000000001E-2</v>
      </c>
    </row>
    <row r="729" spans="1:7" x14ac:dyDescent="0.2">
      <c r="A729" s="384">
        <v>46807</v>
      </c>
      <c r="B729" s="373" t="s">
        <v>1466</v>
      </c>
      <c r="C729" s="1055">
        <f>'[15]Input Sheet'!Q674</f>
        <v>13.926456468000001</v>
      </c>
      <c r="D729" s="1055"/>
      <c r="E729" s="1131">
        <v>11.986190228</v>
      </c>
    </row>
    <row r="730" spans="1:7" x14ac:dyDescent="0.2">
      <c r="A730" s="384">
        <v>46808</v>
      </c>
      <c r="B730" s="373" t="s">
        <v>1467</v>
      </c>
      <c r="C730" s="1055">
        <f>'[15]Input Sheet'!Q675</f>
        <v>-3.2223E-3</v>
      </c>
      <c r="D730" s="1055"/>
      <c r="E730" s="1131">
        <v>-3.2223E-3</v>
      </c>
    </row>
    <row r="731" spans="1:7" x14ac:dyDescent="0.2">
      <c r="A731" s="384">
        <v>46809</v>
      </c>
      <c r="B731" s="373" t="s">
        <v>1468</v>
      </c>
      <c r="C731" s="1055">
        <f>'[15]Input Sheet'!Q676</f>
        <v>0.50649469999999996</v>
      </c>
      <c r="D731" s="1055"/>
      <c r="E731" s="1131">
        <v>0.83061249999999998</v>
      </c>
    </row>
    <row r="732" spans="1:7" x14ac:dyDescent="0.2">
      <c r="A732" s="384">
        <v>46810</v>
      </c>
      <c r="B732" s="343" t="s">
        <v>1469</v>
      </c>
      <c r="C732" s="1055">
        <f>'[15]Input Sheet'!Q677</f>
        <v>0</v>
      </c>
      <c r="D732" s="1055"/>
      <c r="E732" s="1131">
        <v>0</v>
      </c>
    </row>
    <row r="733" spans="1:7" x14ac:dyDescent="0.2">
      <c r="A733" s="384">
        <v>46811</v>
      </c>
      <c r="B733" s="343" t="s">
        <v>1470</v>
      </c>
      <c r="C733" s="1055">
        <f>'[15]Input Sheet'!Q678</f>
        <v>2.809873434</v>
      </c>
      <c r="D733" s="1055"/>
      <c r="E733" s="1131">
        <v>1.3183472000000001</v>
      </c>
    </row>
    <row r="734" spans="1:7" x14ac:dyDescent="0.2">
      <c r="A734" s="384"/>
      <c r="B734" s="373"/>
      <c r="C734" s="1076">
        <f>SUM(C722:C733)</f>
        <v>42.332451702</v>
      </c>
      <c r="D734" s="1076">
        <f>SUM(C722:C733)</f>
        <v>42.332451702</v>
      </c>
      <c r="E734" s="1076">
        <f>SUM(E722:E733)</f>
        <v>41.330191228000004</v>
      </c>
      <c r="F734" s="1076">
        <f>SUM(E722:E733)</f>
        <v>41.330191228000004</v>
      </c>
    </row>
    <row r="735" spans="1:7" ht="25.5" x14ac:dyDescent="0.2">
      <c r="A735" s="384"/>
      <c r="B735" s="417" t="s">
        <v>1471</v>
      </c>
      <c r="C735" s="1083"/>
      <c r="D735" s="1060"/>
      <c r="G735" s="346"/>
    </row>
    <row r="736" spans="1:7" x14ac:dyDescent="0.2">
      <c r="A736" s="384">
        <v>46926</v>
      </c>
      <c r="B736" s="373" t="s">
        <v>1472</v>
      </c>
      <c r="C736" s="1101">
        <f>+'[15]Input Sheet'!Q690</f>
        <v>0.61250196800000001</v>
      </c>
      <c r="D736" s="1055"/>
      <c r="E736" s="1131">
        <v>0.20378660000000001</v>
      </c>
    </row>
    <row r="737" spans="1:7" x14ac:dyDescent="0.2">
      <c r="A737" s="384">
        <v>46927</v>
      </c>
      <c r="B737" s="373" t="s">
        <v>1473</v>
      </c>
      <c r="C737" s="1101">
        <f>+'[15]Input Sheet'!Q691</f>
        <v>0</v>
      </c>
      <c r="D737" s="1055"/>
      <c r="E737" s="1131">
        <v>0</v>
      </c>
    </row>
    <row r="738" spans="1:7" x14ac:dyDescent="0.2">
      <c r="A738" s="384">
        <v>46928</v>
      </c>
      <c r="B738" s="373" t="s">
        <v>1474</v>
      </c>
      <c r="C738" s="1101">
        <f>+'[15]Input Sheet'!Q692</f>
        <v>0</v>
      </c>
      <c r="D738" s="1055"/>
      <c r="E738" s="1131">
        <v>-8.4230599999999991E-4</v>
      </c>
    </row>
    <row r="739" spans="1:7" x14ac:dyDescent="0.2">
      <c r="A739" s="384">
        <v>46930</v>
      </c>
      <c r="B739" s="373" t="s">
        <v>1475</v>
      </c>
      <c r="C739" s="1101">
        <f>+'[15]Input Sheet'!Q693</f>
        <v>0</v>
      </c>
      <c r="D739" s="1104"/>
      <c r="E739" s="1131">
        <v>0</v>
      </c>
    </row>
    <row r="740" spans="1:7" x14ac:dyDescent="0.2">
      <c r="A740" s="384"/>
      <c r="B740" s="373"/>
      <c r="C740" s="1076">
        <f>SUM(C736:C739)</f>
        <v>0.61250196800000001</v>
      </c>
      <c r="D740" s="1055">
        <f>SUM(C736:C739)</f>
        <v>0.61250196800000001</v>
      </c>
      <c r="E740" s="1076">
        <f>SUM(E736:E739)</f>
        <v>0.20294429400000003</v>
      </c>
      <c r="F740" s="1055">
        <f>SUM(E736:E739)</f>
        <v>0.20294429400000003</v>
      </c>
    </row>
    <row r="741" spans="1:7" x14ac:dyDescent="0.2">
      <c r="A741" s="384"/>
      <c r="B741" s="373"/>
      <c r="C741" s="1101"/>
      <c r="D741" s="1055"/>
    </row>
    <row r="742" spans="1:7" x14ac:dyDescent="0.2">
      <c r="A742" s="384"/>
      <c r="B742" s="373"/>
      <c r="C742" s="1101"/>
      <c r="D742" s="1055"/>
      <c r="G742" s="346"/>
    </row>
    <row r="743" spans="1:7" x14ac:dyDescent="0.2">
      <c r="A743" s="337"/>
      <c r="B743" s="378" t="s">
        <v>1476</v>
      </c>
      <c r="C743" s="1107"/>
      <c r="D743" s="1055"/>
      <c r="F743" s="1157"/>
    </row>
    <row r="744" spans="1:7" x14ac:dyDescent="0.2">
      <c r="A744" s="384">
        <v>46851</v>
      </c>
      <c r="B744" s="373" t="s">
        <v>1477</v>
      </c>
      <c r="C744" s="1055">
        <f>'[15]Input Sheet'!Q680</f>
        <v>0</v>
      </c>
      <c r="D744" s="1055"/>
      <c r="E744" s="1131">
        <v>0</v>
      </c>
      <c r="F744" s="1698"/>
    </row>
    <row r="745" spans="1:7" x14ac:dyDescent="0.2">
      <c r="A745" s="384">
        <v>46852</v>
      </c>
      <c r="B745" s="373" t="s">
        <v>1478</v>
      </c>
      <c r="C745" s="1055">
        <f>'[15]Input Sheet'!Q681</f>
        <v>0</v>
      </c>
      <c r="D745" s="1055"/>
      <c r="E745" s="1131">
        <v>0</v>
      </c>
      <c r="F745" s="1698"/>
    </row>
    <row r="746" spans="1:7" x14ac:dyDescent="0.2">
      <c r="A746" s="384">
        <v>46853</v>
      </c>
      <c r="B746" s="373" t="s">
        <v>1479</v>
      </c>
      <c r="C746" s="1055">
        <f>'[15]Input Sheet'!Q682</f>
        <v>0</v>
      </c>
      <c r="D746" s="1055"/>
      <c r="E746" s="1131">
        <v>0</v>
      </c>
      <c r="F746" s="1698"/>
    </row>
    <row r="747" spans="1:7" x14ac:dyDescent="0.2">
      <c r="A747" s="384">
        <v>46936</v>
      </c>
      <c r="B747" s="373" t="s">
        <v>1480</v>
      </c>
      <c r="C747" s="1055">
        <f>'[15]Input Sheet'!Q694</f>
        <v>0</v>
      </c>
      <c r="D747" s="1055"/>
      <c r="E747" s="1131">
        <v>-1.25177E-2</v>
      </c>
      <c r="F747" s="1157"/>
    </row>
    <row r="748" spans="1:7" x14ac:dyDescent="0.2">
      <c r="A748" s="384">
        <v>46937</v>
      </c>
      <c r="B748" s="373" t="s">
        <v>1481</v>
      </c>
      <c r="C748" s="1055">
        <f>'[15]Input Sheet'!Q695</f>
        <v>0</v>
      </c>
      <c r="D748" s="1055"/>
      <c r="E748" s="1131">
        <v>0</v>
      </c>
      <c r="F748" s="1157"/>
    </row>
    <row r="749" spans="1:7" x14ac:dyDescent="0.2">
      <c r="A749" s="384">
        <v>46938</v>
      </c>
      <c r="B749" s="373" t="s">
        <v>1482</v>
      </c>
      <c r="C749" s="1055">
        <f>'[15]Input Sheet'!Q696</f>
        <v>0</v>
      </c>
      <c r="D749" s="1055"/>
      <c r="E749" s="1131">
        <v>0</v>
      </c>
      <c r="F749" s="1157"/>
    </row>
    <row r="750" spans="1:7" x14ac:dyDescent="0.2">
      <c r="A750" s="384">
        <v>46939</v>
      </c>
      <c r="B750" s="373" t="s">
        <v>1483</v>
      </c>
      <c r="C750" s="1055">
        <f>'[15]Input Sheet'!Q697</f>
        <v>0</v>
      </c>
      <c r="D750" s="1055"/>
      <c r="E750" s="1131">
        <v>0</v>
      </c>
      <c r="F750" s="1157"/>
    </row>
    <row r="751" spans="1:7" x14ac:dyDescent="0.2">
      <c r="A751" s="384">
        <v>46940</v>
      </c>
      <c r="B751" s="373" t="s">
        <v>1484</v>
      </c>
      <c r="C751" s="1104">
        <f>'[15]Input Sheet'!Q698</f>
        <v>0</v>
      </c>
      <c r="D751" s="1055"/>
      <c r="E751" s="1158">
        <v>0</v>
      </c>
      <c r="F751" s="1157"/>
    </row>
    <row r="752" spans="1:7" x14ac:dyDescent="0.2">
      <c r="A752" s="384"/>
      <c r="B752" s="373"/>
      <c r="C752" s="1101">
        <f>SUM(C744:C751)</f>
        <v>0</v>
      </c>
      <c r="D752" s="1055"/>
      <c r="E752" s="1101">
        <f>SUM(E744:E751)</f>
        <v>-1.25177E-2</v>
      </c>
    </row>
    <row r="753" spans="1:8" x14ac:dyDescent="0.2">
      <c r="A753" s="337"/>
      <c r="B753" s="374" t="s">
        <v>1485</v>
      </c>
      <c r="C753" s="1101"/>
      <c r="D753" s="1055"/>
    </row>
    <row r="754" spans="1:8" x14ac:dyDescent="0.2">
      <c r="A754" s="337">
        <v>46300</v>
      </c>
      <c r="B754" s="373" t="s">
        <v>1486</v>
      </c>
      <c r="C754" s="1101">
        <f>+'[15]Input Sheet'!Q647</f>
        <v>9.6231115000000006E-2</v>
      </c>
      <c r="D754" s="1055"/>
      <c r="E754" s="1131">
        <v>0.116039711</v>
      </c>
    </row>
    <row r="755" spans="1:8" x14ac:dyDescent="0.2">
      <c r="A755" s="337">
        <v>46302</v>
      </c>
      <c r="B755" s="373" t="s">
        <v>1487</v>
      </c>
      <c r="C755" s="1101">
        <f>+'[15]Input Sheet'!Q649</f>
        <v>1.963626E-3</v>
      </c>
      <c r="D755" s="1055"/>
      <c r="E755" s="1131">
        <v>2.6056180000000001E-3</v>
      </c>
    </row>
    <row r="756" spans="1:8" x14ac:dyDescent="0.2">
      <c r="A756" s="337"/>
      <c r="B756" s="373"/>
      <c r="C756" s="1113">
        <f>SUM(C754:C755)</f>
        <v>9.8194741000000002E-2</v>
      </c>
      <c r="D756" s="1076">
        <f>+C752+C756</f>
        <v>9.8194741000000002E-2</v>
      </c>
      <c r="E756" s="1113">
        <f>SUM(E754:E755)</f>
        <v>0.11864532900000001</v>
      </c>
      <c r="F756" s="1076">
        <f>+E752+E756</f>
        <v>0.106127629</v>
      </c>
    </row>
    <row r="757" spans="1:8" x14ac:dyDescent="0.2">
      <c r="A757" s="384"/>
      <c r="B757" s="374" t="s">
        <v>1488</v>
      </c>
      <c r="C757" s="1102"/>
      <c r="D757" s="1060"/>
      <c r="E757" s="1146"/>
      <c r="F757" s="1146"/>
      <c r="G757" s="346"/>
    </row>
    <row r="758" spans="1:8" x14ac:dyDescent="0.2">
      <c r="A758" s="337">
        <v>46854</v>
      </c>
      <c r="B758" s="373" t="s">
        <v>1489</v>
      </c>
      <c r="C758" s="1055">
        <f>'[15]Input Sheet'!Q683</f>
        <v>12.586332901</v>
      </c>
      <c r="D758" s="1055"/>
      <c r="E758" s="1131">
        <v>12.246438834000001</v>
      </c>
      <c r="H758" s="333" t="s">
        <v>1490</v>
      </c>
    </row>
    <row r="759" spans="1:8" x14ac:dyDescent="0.2">
      <c r="A759" s="337">
        <v>46855</v>
      </c>
      <c r="B759" s="373" t="s">
        <v>1491</v>
      </c>
      <c r="C759" s="1055">
        <f>'[15]Input Sheet'!Q684</f>
        <v>12.585642601</v>
      </c>
      <c r="D759" s="1055"/>
      <c r="E759" s="1131">
        <v>12.246439073000001</v>
      </c>
    </row>
    <row r="760" spans="1:8" x14ac:dyDescent="0.2">
      <c r="A760" s="337">
        <v>46856</v>
      </c>
      <c r="B760" s="373" t="s">
        <v>1490</v>
      </c>
      <c r="C760" s="1055">
        <f>'[15]Input Sheet'!Q685</f>
        <v>0.312431827</v>
      </c>
      <c r="D760" s="1055"/>
      <c r="E760" s="1131">
        <v>0.21407061699999999</v>
      </c>
    </row>
    <row r="761" spans="1:8" x14ac:dyDescent="0.2">
      <c r="A761" s="343">
        <v>46861</v>
      </c>
      <c r="B761" s="343" t="s">
        <v>1492</v>
      </c>
      <c r="C761" s="1055">
        <f>'[15]Input Sheet'!Q686</f>
        <v>7.6431736069999996</v>
      </c>
      <c r="D761" s="1055"/>
      <c r="E761" s="1131">
        <v>3.7004505090000004</v>
      </c>
    </row>
    <row r="762" spans="1:8" x14ac:dyDescent="0.2">
      <c r="A762" s="343">
        <v>46862</v>
      </c>
      <c r="B762" s="343" t="s">
        <v>1493</v>
      </c>
      <c r="C762" s="1055">
        <f>'[15]Input Sheet'!Q687</f>
        <v>7.6471400069999991</v>
      </c>
      <c r="D762" s="1055"/>
      <c r="E762" s="1131">
        <v>3.7055495289999998</v>
      </c>
    </row>
    <row r="763" spans="1:8" x14ac:dyDescent="0.2">
      <c r="A763" s="343">
        <v>46863</v>
      </c>
      <c r="B763" s="343" t="s">
        <v>1494</v>
      </c>
      <c r="C763" s="1055">
        <f>'[15]Input Sheet'!Q688</f>
        <v>17.350511218000001</v>
      </c>
      <c r="D763" s="1055"/>
      <c r="E763" s="1131">
        <v>1.0885604419999999</v>
      </c>
    </row>
    <row r="764" spans="1:8" x14ac:dyDescent="0.2">
      <c r="A764" s="343">
        <v>46864</v>
      </c>
      <c r="B764" s="343" t="s">
        <v>1495</v>
      </c>
      <c r="C764" s="1055">
        <f>'[15]Input Sheet'!Q689</f>
        <v>0</v>
      </c>
      <c r="D764" s="1055"/>
      <c r="E764" s="1131">
        <v>0</v>
      </c>
    </row>
    <row r="765" spans="1:8" x14ac:dyDescent="0.2">
      <c r="A765" s="337">
        <v>46941</v>
      </c>
      <c r="B765" s="373" t="s">
        <v>1496</v>
      </c>
      <c r="C765" s="1055">
        <f>'[15]Input Sheet'!Q699</f>
        <v>0.11946757299999999</v>
      </c>
      <c r="D765" s="1055"/>
      <c r="E765" s="1131">
        <v>0.84284163100000009</v>
      </c>
    </row>
    <row r="766" spans="1:8" x14ac:dyDescent="0.2">
      <c r="A766" s="337">
        <v>46942</v>
      </c>
      <c r="B766" s="373" t="s">
        <v>1497</v>
      </c>
      <c r="C766" s="1055">
        <f>'[15]Input Sheet'!Q700</f>
        <v>0.119491782</v>
      </c>
      <c r="D766" s="1055"/>
      <c r="E766" s="1131">
        <v>0.83401292900000001</v>
      </c>
    </row>
    <row r="767" spans="1:8" x14ac:dyDescent="0.2">
      <c r="A767" s="337">
        <v>46943</v>
      </c>
      <c r="B767" s="373" t="s">
        <v>1498</v>
      </c>
      <c r="C767" s="1055">
        <f>'[15]Input Sheet'!Q701</f>
        <v>-0.30690197299999999</v>
      </c>
      <c r="D767" s="1055"/>
      <c r="E767" s="1131">
        <v>0.68834119500000002</v>
      </c>
    </row>
    <row r="768" spans="1:8" x14ac:dyDescent="0.2">
      <c r="A768" s="343">
        <v>46944</v>
      </c>
      <c r="B768" s="343" t="s">
        <v>1499</v>
      </c>
      <c r="C768" s="1055">
        <f>'[15]Input Sheet'!Q702</f>
        <v>0</v>
      </c>
      <c r="D768" s="1055"/>
      <c r="E768" s="1131">
        <v>0</v>
      </c>
    </row>
    <row r="769" spans="1:6" x14ac:dyDescent="0.2">
      <c r="A769" s="343">
        <v>46945</v>
      </c>
      <c r="B769" s="343" t="s">
        <v>1500</v>
      </c>
      <c r="C769" s="1055">
        <f>'[15]Input Sheet'!Q703</f>
        <v>0</v>
      </c>
      <c r="D769" s="1055"/>
      <c r="E769" s="1131">
        <v>0</v>
      </c>
    </row>
    <row r="770" spans="1:6" x14ac:dyDescent="0.2">
      <c r="A770" s="337">
        <v>46946</v>
      </c>
      <c r="B770" s="373" t="s">
        <v>1498</v>
      </c>
      <c r="C770" s="1055">
        <f>'[15]Input Sheet'!Q704</f>
        <v>4.0000000000000001E-8</v>
      </c>
      <c r="D770" s="1055"/>
      <c r="E770" s="1131">
        <v>0</v>
      </c>
    </row>
    <row r="771" spans="1:6" x14ac:dyDescent="0.2">
      <c r="A771" s="337">
        <v>46947</v>
      </c>
      <c r="B771" s="373" t="s">
        <v>1498</v>
      </c>
      <c r="C771" s="1055">
        <f>'[15]Input Sheet'!Q705</f>
        <v>-1.9499999999999999E-7</v>
      </c>
      <c r="D771" s="1055"/>
      <c r="E771" s="1131">
        <v>2.0318619E-2</v>
      </c>
    </row>
    <row r="772" spans="1:6" x14ac:dyDescent="0.2">
      <c r="A772" s="337">
        <v>46948</v>
      </c>
      <c r="B772" s="373" t="s">
        <v>1498</v>
      </c>
      <c r="C772" s="1055">
        <f>'[15]Input Sheet'!Q706</f>
        <v>0</v>
      </c>
      <c r="D772" s="1055"/>
      <c r="E772" s="1131">
        <v>2.0318627999999998E-2</v>
      </c>
    </row>
    <row r="773" spans="1:6" x14ac:dyDescent="0.2">
      <c r="A773" s="337">
        <v>46949</v>
      </c>
      <c r="B773" s="343" t="s">
        <v>1501</v>
      </c>
      <c r="C773" s="1055">
        <f>'[15]Input Sheet'!Q707</f>
        <v>0</v>
      </c>
      <c r="D773" s="1055"/>
      <c r="E773" s="1131">
        <v>0</v>
      </c>
    </row>
    <row r="774" spans="1:6" x14ac:dyDescent="0.2">
      <c r="A774" s="337">
        <v>46950</v>
      </c>
      <c r="B774" s="373" t="s">
        <v>1498</v>
      </c>
      <c r="C774" s="1055">
        <f>'[15]Input Sheet'!Q708</f>
        <v>0.66904633899999999</v>
      </c>
      <c r="D774" s="1055"/>
      <c r="E774" s="1131">
        <v>0.71903550000000005</v>
      </c>
      <c r="F774" s="1053"/>
    </row>
    <row r="775" spans="1:6" x14ac:dyDescent="0.2">
      <c r="A775" s="337"/>
      <c r="B775" s="373"/>
      <c r="C775" s="1108">
        <f>SUM(C758:C774)</f>
        <v>58.726335726999999</v>
      </c>
      <c r="D775" s="1055"/>
      <c r="E775" s="1108">
        <f>SUM(E758:E774)</f>
        <v>36.326377505999993</v>
      </c>
      <c r="F775" s="1055"/>
    </row>
    <row r="776" spans="1:6" x14ac:dyDescent="0.2">
      <c r="A776" s="337">
        <v>28851</v>
      </c>
      <c r="B776" s="423" t="s">
        <v>1502</v>
      </c>
      <c r="C776" s="1083">
        <f>+'[15]Input Sheet'!Q524</f>
        <v>-4.0000000000000001E-8</v>
      </c>
      <c r="D776" s="1055"/>
      <c r="E776" s="1069">
        <v>1.8877954999999998E-2</v>
      </c>
      <c r="F776" s="1069"/>
    </row>
    <row r="777" spans="1:6" x14ac:dyDescent="0.2">
      <c r="A777" s="337">
        <v>28852</v>
      </c>
      <c r="B777" s="423" t="s">
        <v>1503</v>
      </c>
      <c r="C777" s="1083">
        <f>+'[15]Input Sheet'!Q525</f>
        <v>-4.0000000000000001E-8</v>
      </c>
      <c r="D777" s="1055"/>
      <c r="E777" s="1069">
        <v>1.8877954999999998E-2</v>
      </c>
      <c r="F777" s="1069"/>
    </row>
    <row r="778" spans="1:6" x14ac:dyDescent="0.2">
      <c r="A778" s="337">
        <v>28853</v>
      </c>
      <c r="B778" s="324" t="s">
        <v>1504</v>
      </c>
      <c r="C778" s="1083">
        <f>+'[15]Input Sheet'!Q526</f>
        <v>-6.1887399999999999E-3</v>
      </c>
      <c r="D778" s="1055"/>
      <c r="E778" s="1069">
        <v>0.32406414</v>
      </c>
      <c r="F778" s="1069"/>
    </row>
    <row r="779" spans="1:6" x14ac:dyDescent="0.2">
      <c r="A779" s="343">
        <v>28854</v>
      </c>
      <c r="B779" s="343" t="s">
        <v>1505</v>
      </c>
      <c r="C779" s="1083">
        <f>+'[15]Input Sheet'!Q527</f>
        <v>8.5900422000000004E-2</v>
      </c>
      <c r="D779" s="1055"/>
      <c r="E779" s="1069">
        <v>0</v>
      </c>
      <c r="F779" s="1069"/>
    </row>
    <row r="780" spans="1:6" x14ac:dyDescent="0.2">
      <c r="A780" s="343">
        <v>28855</v>
      </c>
      <c r="B780" s="343" t="s">
        <v>1506</v>
      </c>
      <c r="C780" s="1083">
        <f>+'[15]Input Sheet'!Q528</f>
        <v>8.5900422000000004E-2</v>
      </c>
      <c r="D780" s="1055"/>
      <c r="E780" s="1069">
        <v>0</v>
      </c>
      <c r="F780" s="1069"/>
    </row>
    <row r="781" spans="1:6" x14ac:dyDescent="0.2">
      <c r="A781" s="343">
        <v>28856</v>
      </c>
      <c r="B781" s="343" t="s">
        <v>1507</v>
      </c>
      <c r="C781" s="1083">
        <f>+'[15]Input Sheet'!Q529</f>
        <v>0</v>
      </c>
      <c r="D781" s="1055"/>
      <c r="E781" s="1069">
        <v>0</v>
      </c>
      <c r="F781" s="1069"/>
    </row>
    <row r="782" spans="1:6" x14ac:dyDescent="0.2">
      <c r="A782" s="343">
        <v>28857</v>
      </c>
      <c r="B782" s="343" t="s">
        <v>1508</v>
      </c>
      <c r="C782" s="1083">
        <f>+'[15]Input Sheet'!Q530</f>
        <v>0.65784640400000005</v>
      </c>
      <c r="D782" s="1055"/>
      <c r="E782" s="1069">
        <v>0</v>
      </c>
      <c r="F782" s="1069"/>
    </row>
    <row r="783" spans="1:6" x14ac:dyDescent="0.2">
      <c r="A783" s="343">
        <v>28858</v>
      </c>
      <c r="B783" s="343" t="s">
        <v>1509</v>
      </c>
      <c r="C783" s="1083">
        <f>+'[15]Input Sheet'!Q531</f>
        <v>0.10361361899999999</v>
      </c>
      <c r="D783" s="1055"/>
      <c r="E783" s="1069">
        <v>0.27998958199999996</v>
      </c>
      <c r="F783" s="1069"/>
    </row>
    <row r="784" spans="1:6" x14ac:dyDescent="0.2">
      <c r="A784" s="343">
        <v>28859</v>
      </c>
      <c r="B784" s="343" t="s">
        <v>1510</v>
      </c>
      <c r="C784" s="1083">
        <f>+'[15]Input Sheet'!Q532</f>
        <v>0.10361361899999999</v>
      </c>
      <c r="D784" s="1055"/>
      <c r="E784" s="1069">
        <v>0.27998958199999996</v>
      </c>
      <c r="F784" s="1069"/>
    </row>
    <row r="785" spans="1:12" x14ac:dyDescent="0.2">
      <c r="A785" s="343">
        <v>28880</v>
      </c>
      <c r="B785" s="343" t="s">
        <v>1511</v>
      </c>
      <c r="C785" s="1083">
        <f>+'[15]Input Sheet'!Q533</f>
        <v>0.20380018999999999</v>
      </c>
      <c r="D785" s="1055"/>
      <c r="E785" s="1069">
        <v>0.43768035</v>
      </c>
      <c r="F785" s="1069"/>
    </row>
    <row r="786" spans="1:12" x14ac:dyDescent="0.2">
      <c r="A786" s="343">
        <v>28881</v>
      </c>
      <c r="B786" s="343" t="s">
        <v>1512</v>
      </c>
      <c r="C786" s="1083">
        <f>+'[15]Input Sheet'!Q534</f>
        <v>1.3000000000000001E-8</v>
      </c>
      <c r="D786" s="1055"/>
      <c r="E786" s="1069">
        <v>3.4396713000000002E-2</v>
      </c>
      <c r="F786" s="1069"/>
    </row>
    <row r="787" spans="1:12" x14ac:dyDescent="0.2">
      <c r="A787" s="343">
        <v>28882</v>
      </c>
      <c r="B787" s="343" t="s">
        <v>1513</v>
      </c>
      <c r="C787" s="1083">
        <f>+'[15]Input Sheet'!Q535</f>
        <v>1.3000000000000001E-8</v>
      </c>
      <c r="D787" s="1055"/>
      <c r="E787" s="1069">
        <v>2.5987813000000002E-2</v>
      </c>
      <c r="F787" s="1069"/>
    </row>
    <row r="788" spans="1:12" ht="15" x14ac:dyDescent="0.25">
      <c r="A788" s="343">
        <v>28883</v>
      </c>
      <c r="B788" s="427" t="s">
        <v>1514</v>
      </c>
      <c r="C788" s="1159">
        <f>+'[15]Input Sheet'!Q536</f>
        <v>3.1E-8</v>
      </c>
      <c r="D788" s="1104"/>
      <c r="E788" s="1085">
        <v>-5.1971630999999997E-2</v>
      </c>
      <c r="F788" s="1085"/>
    </row>
    <row r="789" spans="1:12" ht="15" x14ac:dyDescent="0.25">
      <c r="A789" s="343"/>
      <c r="B789" s="427"/>
      <c r="C789" s="1110">
        <f>SUM(C776:C788)</f>
        <v>1.2344859129999999</v>
      </c>
      <c r="D789" s="1055">
        <f>C775-C789</f>
        <v>57.491849813999998</v>
      </c>
      <c r="E789" s="1110">
        <f>SUM(E776:E788)</f>
        <v>1.3678924589999999</v>
      </c>
      <c r="F789" s="1055">
        <f>E775-E789</f>
        <v>34.958485046999996</v>
      </c>
    </row>
    <row r="790" spans="1:12" ht="15" x14ac:dyDescent="0.25">
      <c r="A790" s="343"/>
      <c r="B790" s="427"/>
      <c r="C790" s="1110"/>
      <c r="D790" s="1055"/>
      <c r="E790" s="1160"/>
    </row>
    <row r="791" spans="1:12" x14ac:dyDescent="0.2">
      <c r="A791" s="337">
        <v>46820</v>
      </c>
      <c r="B791" s="373" t="s">
        <v>1515</v>
      </c>
      <c r="C791" s="1101"/>
      <c r="D791" s="1055">
        <f>'[15]Input Sheet'!Q679</f>
        <v>0</v>
      </c>
      <c r="E791" s="1146"/>
      <c r="F791" s="1146"/>
      <c r="G791" s="346"/>
    </row>
    <row r="792" spans="1:12" x14ac:dyDescent="0.2">
      <c r="A792" s="337"/>
      <c r="B792" s="374"/>
      <c r="C792" s="1102"/>
      <c r="D792" s="1060"/>
      <c r="E792" s="1146"/>
      <c r="F792" s="1146"/>
      <c r="G792" s="346"/>
    </row>
    <row r="793" spans="1:12" x14ac:dyDescent="0.2">
      <c r="A793" s="384">
        <v>44407</v>
      </c>
      <c r="B793" s="373" t="s">
        <v>1516</v>
      </c>
      <c r="C793" s="1101"/>
      <c r="D793" s="1060">
        <f>+'[15]Input Sheet'!Q631</f>
        <v>0.13512250000000001</v>
      </c>
      <c r="E793" s="1146"/>
      <c r="F793" s="1146">
        <v>0.12963820000000001</v>
      </c>
      <c r="G793" s="346"/>
    </row>
    <row r="794" spans="1:12" ht="13.5" thickBot="1" x14ac:dyDescent="0.25">
      <c r="A794" s="384"/>
      <c r="B794" s="428"/>
      <c r="C794" s="1161"/>
      <c r="D794" s="1091">
        <f>D719+D734+D740+D756+D775+D791+D793</f>
        <v>124.86517091099999</v>
      </c>
      <c r="E794" s="1161"/>
      <c r="F794" s="1091">
        <f>F719+F734+F740+F756+F775+F791+F793</f>
        <v>78.673901351000012</v>
      </c>
    </row>
    <row r="795" spans="1:12" ht="13.5" thickTop="1" x14ac:dyDescent="0.2">
      <c r="A795" s="384"/>
      <c r="B795" s="324"/>
      <c r="C795" s="1055"/>
      <c r="D795" s="1055"/>
    </row>
    <row r="796" spans="1:12" x14ac:dyDescent="0.2">
      <c r="A796" s="384"/>
      <c r="B796" s="324"/>
      <c r="C796" s="1055"/>
      <c r="D796" s="1055"/>
    </row>
    <row r="797" spans="1:12" x14ac:dyDescent="0.2">
      <c r="A797" s="400" t="s">
        <v>1517</v>
      </c>
      <c r="B797" s="374" t="s">
        <v>939</v>
      </c>
      <c r="C797" s="1102"/>
      <c r="D797" s="1055"/>
      <c r="L797" s="346"/>
    </row>
    <row r="798" spans="1:12" x14ac:dyDescent="0.2">
      <c r="A798" s="384">
        <v>44110</v>
      </c>
      <c r="B798" s="363" t="s">
        <v>401</v>
      </c>
      <c r="C798" s="1093"/>
      <c r="D798" s="1055">
        <f>'[15]Input Sheet'!Q623</f>
        <v>97.033344397000064</v>
      </c>
      <c r="F798" s="1131">
        <v>118.53987642799996</v>
      </c>
    </row>
    <row r="799" spans="1:12" x14ac:dyDescent="0.2">
      <c r="A799" s="384">
        <v>44340</v>
      </c>
      <c r="B799" s="363" t="s">
        <v>910</v>
      </c>
      <c r="C799" s="1093"/>
      <c r="D799" s="1055">
        <f>'[15]Input Sheet'!Q625</f>
        <v>142.04039931199998</v>
      </c>
      <c r="F799" s="1131">
        <v>146.68159984199997</v>
      </c>
    </row>
    <row r="800" spans="1:12" x14ac:dyDescent="0.2">
      <c r="A800" s="405"/>
      <c r="B800" s="424"/>
      <c r="C800" s="1152"/>
      <c r="D800" s="1150">
        <f>SUM(D798:D799)</f>
        <v>239.07374370900004</v>
      </c>
      <c r="E800" s="1152"/>
      <c r="F800" s="1150">
        <f>SUM(F798:F799)</f>
        <v>265.22147626999993</v>
      </c>
    </row>
    <row r="801" spans="1:6" x14ac:dyDescent="0.2">
      <c r="C801" s="1098"/>
      <c r="D801" s="1098"/>
    </row>
    <row r="802" spans="1:6" x14ac:dyDescent="0.2">
      <c r="C802" s="1098"/>
      <c r="D802" s="1098"/>
    </row>
    <row r="803" spans="1:6" x14ac:dyDescent="0.2">
      <c r="C803" s="1098"/>
      <c r="D803" s="1098"/>
    </row>
    <row r="804" spans="1:6" x14ac:dyDescent="0.2">
      <c r="C804" s="1098"/>
      <c r="D804" s="1098"/>
    </row>
    <row r="805" spans="1:6" x14ac:dyDescent="0.2">
      <c r="C805" s="1098"/>
      <c r="D805" s="1098"/>
    </row>
    <row r="806" spans="1:6" x14ac:dyDescent="0.2">
      <c r="C806" s="1098"/>
      <c r="D806" s="1098"/>
    </row>
    <row r="807" spans="1:6" x14ac:dyDescent="0.2">
      <c r="C807" s="1098"/>
      <c r="D807" s="1098"/>
    </row>
    <row r="808" spans="1:6" x14ac:dyDescent="0.2">
      <c r="A808" s="332">
        <v>24000</v>
      </c>
      <c r="B808" s="321" t="s">
        <v>1518</v>
      </c>
      <c r="C808" s="1098"/>
      <c r="D808" s="1098">
        <f>'[15]Input Sheet'!Q136</f>
        <v>0</v>
      </c>
      <c r="F808" s="1131">
        <v>0</v>
      </c>
    </row>
    <row r="809" spans="1:6" x14ac:dyDescent="0.2">
      <c r="A809" s="332">
        <v>24200</v>
      </c>
      <c r="B809" s="321" t="s">
        <v>1519</v>
      </c>
      <c r="C809" s="1098"/>
      <c r="D809" s="1098">
        <f>'[15]Input Sheet'!Q204</f>
        <v>1.0347500000000001E-3</v>
      </c>
      <c r="F809" s="1131">
        <v>1.0347500000000001E-3</v>
      </c>
    </row>
    <row r="810" spans="1:6" x14ac:dyDescent="0.2">
      <c r="A810" s="332">
        <v>24410</v>
      </c>
      <c r="B810" s="321" t="s">
        <v>1520</v>
      </c>
      <c r="C810" s="1098"/>
      <c r="D810" s="1098">
        <f>'[15]Input Sheet'!Q233</f>
        <v>2.1000000000000001E-4</v>
      </c>
      <c r="F810" s="1131">
        <v>4.0779999999999999E-4</v>
      </c>
    </row>
    <row r="811" spans="1:6" x14ac:dyDescent="0.2">
      <c r="A811" s="332">
        <v>24430</v>
      </c>
      <c r="B811" s="321" t="s">
        <v>1521</v>
      </c>
      <c r="C811" s="1098"/>
      <c r="D811" s="1098">
        <f>'[15]Input Sheet'!Q240</f>
        <v>0</v>
      </c>
      <c r="F811" s="1131">
        <v>0</v>
      </c>
    </row>
    <row r="812" spans="1:6" x14ac:dyDescent="0.2">
      <c r="A812" s="332">
        <v>24440</v>
      </c>
      <c r="B812" s="321" t="s">
        <v>1522</v>
      </c>
      <c r="C812" s="1098"/>
      <c r="D812" s="1098">
        <f>'[15]Input Sheet'!Q245</f>
        <v>0</v>
      </c>
      <c r="F812" s="1131">
        <v>0</v>
      </c>
    </row>
    <row r="813" spans="1:6" x14ac:dyDescent="0.2">
      <c r="A813" s="332">
        <v>24450</v>
      </c>
      <c r="B813" s="321" t="s">
        <v>1523</v>
      </c>
      <c r="C813" s="1098"/>
      <c r="D813" s="1098">
        <f>'[15]Input Sheet'!Q252</f>
        <v>9.4899999999999997E-4</v>
      </c>
      <c r="F813" s="1131">
        <v>1.0663999999999999E-3</v>
      </c>
    </row>
    <row r="814" spans="1:6" x14ac:dyDescent="0.2">
      <c r="A814" s="332">
        <v>24460</v>
      </c>
      <c r="B814" s="321" t="s">
        <v>1524</v>
      </c>
      <c r="C814" s="1098"/>
      <c r="D814" s="1098">
        <f>'[15]Input Sheet'!Q259</f>
        <v>5.8469999999999996E-4</v>
      </c>
      <c r="F814" s="1131">
        <v>6.2549999999999997E-4</v>
      </c>
    </row>
    <row r="815" spans="1:6" x14ac:dyDescent="0.2">
      <c r="A815" s="332">
        <v>24470</v>
      </c>
      <c r="B815" s="321" t="s">
        <v>1525</v>
      </c>
      <c r="C815" s="1098"/>
      <c r="D815" s="1098">
        <f>'[15]Input Sheet'!Q266</f>
        <v>1.8039999999999999E-4</v>
      </c>
      <c r="F815" s="1131">
        <v>4.5966000000000002E-3</v>
      </c>
    </row>
    <row r="816" spans="1:6" x14ac:dyDescent="0.2">
      <c r="A816" s="332">
        <v>24490</v>
      </c>
      <c r="B816" s="321" t="s">
        <v>1526</v>
      </c>
      <c r="C816" s="1098"/>
      <c r="D816" s="1098">
        <f>'[15]Input Sheet'!Q275</f>
        <v>9.7899999999999994E-5</v>
      </c>
      <c r="F816" s="1131">
        <v>1.1949E-3</v>
      </c>
    </row>
    <row r="817" spans="1:6" x14ac:dyDescent="0.2">
      <c r="A817" s="332">
        <v>24500</v>
      </c>
      <c r="B817" s="321" t="s">
        <v>1527</v>
      </c>
      <c r="C817" s="1098"/>
      <c r="D817" s="1098">
        <f>'[15]Input Sheet'!Q284</f>
        <v>8.8159999999999996E-4</v>
      </c>
      <c r="F817" s="1131">
        <v>4.2789999999999999E-4</v>
      </c>
    </row>
    <row r="818" spans="1:6" x14ac:dyDescent="0.2">
      <c r="A818" s="332">
        <v>24520</v>
      </c>
      <c r="B818" s="321" t="s">
        <v>1528</v>
      </c>
      <c r="C818" s="1098"/>
      <c r="D818" s="1098">
        <f>'[15]Input Sheet'!Q295</f>
        <v>6.1799999999999998E-5</v>
      </c>
      <c r="F818" s="1131">
        <v>3.2390000000000001E-4</v>
      </c>
    </row>
    <row r="819" spans="1:6" x14ac:dyDescent="0.2">
      <c r="A819" s="332">
        <v>24600</v>
      </c>
      <c r="B819" s="321" t="s">
        <v>1529</v>
      </c>
      <c r="C819" s="1098"/>
      <c r="D819" s="1098">
        <f>'[15]Input Sheet'!Q314</f>
        <v>1.6440000000000001E-4</v>
      </c>
      <c r="F819" s="1131">
        <v>3.2850000000000002E-4</v>
      </c>
    </row>
    <row r="820" spans="1:6" x14ac:dyDescent="0.2">
      <c r="A820" s="332">
        <v>24610</v>
      </c>
      <c r="B820" s="321" t="s">
        <v>1530</v>
      </c>
      <c r="C820" s="1098"/>
      <c r="D820" s="1098">
        <f>'[15]Input Sheet'!Q321</f>
        <v>0</v>
      </c>
      <c r="F820" s="1131">
        <v>0</v>
      </c>
    </row>
    <row r="821" spans="1:6" x14ac:dyDescent="0.2">
      <c r="A821" s="332">
        <v>24620</v>
      </c>
      <c r="B821" s="321" t="s">
        <v>1531</v>
      </c>
      <c r="C821" s="1098"/>
      <c r="D821" s="1098">
        <f>'[15]Input Sheet'!Q326</f>
        <v>6.8100000000000002E-5</v>
      </c>
      <c r="F821" s="1131">
        <v>1.7330000000000001E-4</v>
      </c>
    </row>
    <row r="822" spans="1:6" x14ac:dyDescent="0.2">
      <c r="A822" s="332">
        <v>24630</v>
      </c>
      <c r="B822" s="321" t="s">
        <v>1532</v>
      </c>
      <c r="C822" s="1098"/>
      <c r="D822" s="1098">
        <f>'[15]Input Sheet'!Q331</f>
        <v>1.5752E-4</v>
      </c>
      <c r="F822" s="1131">
        <v>2.6541999999999999E-4</v>
      </c>
    </row>
    <row r="823" spans="1:6" x14ac:dyDescent="0.2">
      <c r="A823" s="332">
        <v>24640</v>
      </c>
      <c r="B823" s="321" t="s">
        <v>1533</v>
      </c>
      <c r="C823" s="1098"/>
      <c r="D823" s="1098">
        <f>'[15]Input Sheet'!Q336</f>
        <v>3.1952E-3</v>
      </c>
      <c r="F823" s="1131">
        <v>1.1492E-3</v>
      </c>
    </row>
    <row r="824" spans="1:6" x14ac:dyDescent="0.2">
      <c r="A824" s="332">
        <v>24660</v>
      </c>
      <c r="B824" s="321" t="s">
        <v>1534</v>
      </c>
      <c r="C824" s="1098"/>
      <c r="D824" s="1098">
        <f>'[15]Input Sheet'!Q345</f>
        <v>2.4879999999999998E-4</v>
      </c>
      <c r="F824" s="1131">
        <v>4.2900000000000002E-4</v>
      </c>
    </row>
    <row r="825" spans="1:6" x14ac:dyDescent="0.2">
      <c r="A825" s="332">
        <v>24670</v>
      </c>
      <c r="B825" s="321" t="s">
        <v>1535</v>
      </c>
      <c r="C825" s="1098"/>
      <c r="D825" s="1098">
        <f>'[15]Input Sheet'!Q352</f>
        <v>5.463E-4</v>
      </c>
      <c r="F825" s="1131">
        <v>6.6589999999999998E-4</v>
      </c>
    </row>
    <row r="826" spans="1:6" x14ac:dyDescent="0.2">
      <c r="A826" s="332">
        <v>24680</v>
      </c>
      <c r="B826" s="321" t="s">
        <v>1536</v>
      </c>
      <c r="C826" s="1098"/>
      <c r="D826" s="1098">
        <f>'[15]Input Sheet'!Q357</f>
        <v>3.0630000000000002E-4</v>
      </c>
      <c r="F826" s="1131">
        <v>4.929E-4</v>
      </c>
    </row>
    <row r="827" spans="1:6" x14ac:dyDescent="0.2">
      <c r="A827" s="332">
        <v>24690</v>
      </c>
      <c r="B827" s="321" t="s">
        <v>1537</v>
      </c>
      <c r="C827" s="1098"/>
      <c r="D827" s="1098">
        <f>'[15]Input Sheet'!Q363</f>
        <v>4.0749999999999998E-4</v>
      </c>
      <c r="F827" s="1131">
        <v>2.3049999999999999E-4</v>
      </c>
    </row>
    <row r="828" spans="1:6" x14ac:dyDescent="0.2">
      <c r="A828" s="332">
        <v>24700</v>
      </c>
      <c r="B828" s="321" t="s">
        <v>1538</v>
      </c>
      <c r="C828" s="1098"/>
      <c r="D828" s="1098">
        <f>'[15]Input Sheet'!Q370</f>
        <v>1.2794E-3</v>
      </c>
      <c r="F828" s="1131">
        <v>1.1834E-3</v>
      </c>
    </row>
    <row r="829" spans="1:6" x14ac:dyDescent="0.2">
      <c r="A829" s="332">
        <v>24800</v>
      </c>
      <c r="B829" s="321" t="s">
        <v>1539</v>
      </c>
      <c r="C829" s="1098"/>
      <c r="D829" s="1098">
        <f>'[15]Input Sheet'!Q376</f>
        <v>4.3639999999999998E-4</v>
      </c>
      <c r="F829" s="1131">
        <v>4.6999999999999999E-6</v>
      </c>
    </row>
    <row r="830" spans="1:6" x14ac:dyDescent="0.2">
      <c r="A830" s="332">
        <v>24810</v>
      </c>
      <c r="B830" s="321" t="s">
        <v>1540</v>
      </c>
      <c r="C830" s="1098"/>
      <c r="D830" s="1098">
        <f>'[15]Input Sheet'!Q383</f>
        <v>1.0289999999999999E-4</v>
      </c>
      <c r="F830" s="1131">
        <v>3.033E-4</v>
      </c>
    </row>
    <row r="831" spans="1:6" x14ac:dyDescent="0.2">
      <c r="A831" s="332">
        <v>24820</v>
      </c>
      <c r="B831" s="321" t="s">
        <v>1541</v>
      </c>
      <c r="C831" s="1098"/>
      <c r="D831" s="1098">
        <f>'[15]Input Sheet'!Q390</f>
        <v>0</v>
      </c>
      <c r="F831" s="1131">
        <v>0</v>
      </c>
    </row>
    <row r="832" spans="1:6" x14ac:dyDescent="0.2">
      <c r="A832" s="332">
        <v>24830</v>
      </c>
      <c r="B832" s="321" t="s">
        <v>1542</v>
      </c>
      <c r="C832" s="1098"/>
      <c r="D832" s="1098">
        <f>'[15]Input Sheet'!Q397</f>
        <v>8.0869999999999998E-4</v>
      </c>
      <c r="F832" s="1131">
        <v>5.6329999999999998E-4</v>
      </c>
    </row>
    <row r="833" spans="1:6" x14ac:dyDescent="0.2">
      <c r="A833" s="332">
        <v>24840</v>
      </c>
      <c r="B833" s="321" t="s">
        <v>1543</v>
      </c>
      <c r="C833" s="1098"/>
      <c r="D833" s="1098">
        <f>'[15]Input Sheet'!Q402</f>
        <v>2.2469999999999999E-4</v>
      </c>
      <c r="F833" s="1131">
        <v>2.2469999999999999E-4</v>
      </c>
    </row>
    <row r="834" spans="1:6" x14ac:dyDescent="0.2">
      <c r="A834" s="332">
        <v>24860</v>
      </c>
      <c r="B834" s="321" t="s">
        <v>1544</v>
      </c>
      <c r="C834" s="1098"/>
      <c r="D834" s="1098">
        <f>'[15]Input Sheet'!Q411</f>
        <v>2.7460000000000001E-4</v>
      </c>
      <c r="F834" s="1131">
        <v>7.2000000000000002E-5</v>
      </c>
    </row>
    <row r="835" spans="1:6" x14ac:dyDescent="0.2">
      <c r="A835" s="332">
        <v>24870</v>
      </c>
      <c r="B835" s="321" t="s">
        <v>1545</v>
      </c>
      <c r="C835" s="1098"/>
      <c r="D835" s="1098">
        <f>'[15]Input Sheet'!Q416</f>
        <v>6.8100000000000002E-5</v>
      </c>
      <c r="F835" s="1131">
        <v>6.8300000000000007E-5</v>
      </c>
    </row>
    <row r="836" spans="1:6" x14ac:dyDescent="0.2">
      <c r="A836" s="332">
        <v>24900</v>
      </c>
      <c r="B836" s="321" t="s">
        <v>1546</v>
      </c>
      <c r="C836" s="1098"/>
      <c r="D836" s="1098">
        <f>'[15]Input Sheet'!Q423</f>
        <v>8.7989999999999997E-4</v>
      </c>
      <c r="F836" s="1131">
        <v>6.3809999999999995E-4</v>
      </c>
    </row>
    <row r="837" spans="1:6" x14ac:dyDescent="0.2">
      <c r="A837" s="332">
        <v>24910</v>
      </c>
      <c r="B837" s="321" t="s">
        <v>1547</v>
      </c>
      <c r="C837" s="1098"/>
      <c r="D837" s="1098">
        <f>'[15]Input Sheet'!Q430</f>
        <v>4.4900000000000002E-4</v>
      </c>
      <c r="F837" s="1131">
        <v>7.0549999999999996E-4</v>
      </c>
    </row>
    <row r="838" spans="1:6" x14ac:dyDescent="0.2">
      <c r="A838" s="332">
        <v>24920</v>
      </c>
      <c r="B838" s="321" t="s">
        <v>1548</v>
      </c>
      <c r="C838" s="1098"/>
      <c r="D838" s="1098">
        <f>'[15]Input Sheet'!Q439</f>
        <v>1.1000000000000001E-6</v>
      </c>
      <c r="F838" s="1131">
        <v>1.1000000000000001E-6</v>
      </c>
    </row>
    <row r="839" spans="1:6" x14ac:dyDescent="0.2">
      <c r="A839" s="332">
        <v>24930</v>
      </c>
      <c r="B839" s="321" t="s">
        <v>1549</v>
      </c>
      <c r="C839" s="1098"/>
      <c r="D839" s="1098">
        <f>'[15]Input Sheet'!Q446</f>
        <v>5.8199999999999998E-5</v>
      </c>
      <c r="F839" s="1131">
        <v>1.582E-4</v>
      </c>
    </row>
    <row r="840" spans="1:6" x14ac:dyDescent="0.2">
      <c r="A840" s="332">
        <v>24940</v>
      </c>
      <c r="B840" s="321" t="s">
        <v>1550</v>
      </c>
      <c r="C840" s="1098"/>
      <c r="D840" s="1098">
        <f>'[15]Input Sheet'!Q453</f>
        <v>0</v>
      </c>
      <c r="F840" s="1131">
        <v>0</v>
      </c>
    </row>
    <row r="841" spans="1:6" x14ac:dyDescent="0.2">
      <c r="A841" s="332">
        <v>24950</v>
      </c>
      <c r="B841" s="321" t="s">
        <v>1551</v>
      </c>
      <c r="C841" s="1098"/>
      <c r="D841" s="1098">
        <f>'[15]Input Sheet'!Q460</f>
        <v>9.77475E-4</v>
      </c>
      <c r="F841" s="1131">
        <v>1.1375E-5</v>
      </c>
    </row>
    <row r="842" spans="1:6" x14ac:dyDescent="0.2">
      <c r="A842" s="332">
        <v>24960</v>
      </c>
      <c r="B842" s="321" t="s">
        <v>1552</v>
      </c>
      <c r="C842" s="1098"/>
      <c r="D842" s="1098">
        <f>'[15]Input Sheet'!Q465</f>
        <v>0</v>
      </c>
      <c r="F842" s="1131">
        <v>0</v>
      </c>
    </row>
    <row r="843" spans="1:6" x14ac:dyDescent="0.2">
      <c r="B843" s="321" t="s">
        <v>242</v>
      </c>
      <c r="C843" s="1098"/>
      <c r="D843" s="1098">
        <f>SUM(D808:D842)</f>
        <v>1.4654745E-2</v>
      </c>
      <c r="F843" s="1098">
        <f>SUM(F808:F842)</f>
        <v>1.7346445000000002E-2</v>
      </c>
    </row>
    <row r="844" spans="1:6" x14ac:dyDescent="0.2">
      <c r="C844" s="1098"/>
      <c r="D844" s="1098"/>
    </row>
    <row r="845" spans="1:6" x14ac:dyDescent="0.2">
      <c r="C845" s="1098"/>
      <c r="D845" s="1098"/>
    </row>
    <row r="846" spans="1:6" x14ac:dyDescent="0.2">
      <c r="A846" s="332">
        <v>24001</v>
      </c>
      <c r="B846" s="321" t="s">
        <v>1553</v>
      </c>
      <c r="C846" s="1098"/>
      <c r="D846" s="1162">
        <f>'[15]Input Sheet'!Q137</f>
        <v>0</v>
      </c>
      <c r="F846" s="1131">
        <v>0</v>
      </c>
    </row>
    <row r="847" spans="1:6" x14ac:dyDescent="0.2">
      <c r="A847" s="332">
        <v>24002</v>
      </c>
      <c r="B847" s="321" t="s">
        <v>1554</v>
      </c>
      <c r="C847" s="1098"/>
      <c r="D847" s="1162">
        <f>'[15]Input Sheet'!Q138</f>
        <v>0</v>
      </c>
      <c r="F847" s="1131">
        <v>0</v>
      </c>
    </row>
    <row r="848" spans="1:6" x14ac:dyDescent="0.2">
      <c r="A848" s="332">
        <v>24011</v>
      </c>
      <c r="B848" s="321" t="s">
        <v>1555</v>
      </c>
      <c r="C848" s="1098"/>
      <c r="D848" s="1162">
        <f>'[15]Input Sheet'!Q139</f>
        <v>0</v>
      </c>
      <c r="F848" s="1131">
        <v>0</v>
      </c>
    </row>
    <row r="849" spans="1:6" x14ac:dyDescent="0.2">
      <c r="A849" s="332">
        <v>24012</v>
      </c>
      <c r="B849" s="321" t="s">
        <v>1556</v>
      </c>
      <c r="C849" s="1098"/>
      <c r="D849" s="1162">
        <f>'[15]Input Sheet'!Q140</f>
        <v>0</v>
      </c>
      <c r="F849" s="1131">
        <v>0</v>
      </c>
    </row>
    <row r="850" spans="1:6" x14ac:dyDescent="0.2">
      <c r="A850" s="332">
        <v>24023</v>
      </c>
      <c r="B850" s="321" t="s">
        <v>1557</v>
      </c>
      <c r="C850" s="1098"/>
      <c r="D850" s="1162">
        <f>'[15]Input Sheet'!Q143</f>
        <v>4.3000000000000001E-8</v>
      </c>
      <c r="F850" s="1131">
        <v>4.3000000000000001E-8</v>
      </c>
    </row>
    <row r="851" spans="1:6" x14ac:dyDescent="0.2">
      <c r="A851" s="332">
        <v>24024</v>
      </c>
      <c r="B851" s="321" t="s">
        <v>1558</v>
      </c>
      <c r="C851" s="1098"/>
      <c r="D851" s="1162">
        <f>'[15]Input Sheet'!Q144</f>
        <v>-4.3000000000000001E-8</v>
      </c>
      <c r="F851" s="1131">
        <v>8.0050000000000004E-6</v>
      </c>
    </row>
    <row r="852" spans="1:6" x14ac:dyDescent="0.2">
      <c r="A852" s="332">
        <v>24026</v>
      </c>
      <c r="B852" s="321" t="s">
        <v>1559</v>
      </c>
      <c r="C852" s="1098"/>
      <c r="D852" s="1162">
        <f>'[15]Input Sheet'!Q145</f>
        <v>-1.0891277500000001</v>
      </c>
      <c r="F852" s="1131">
        <v>-1.0891277500000001</v>
      </c>
    </row>
    <row r="853" spans="1:6" x14ac:dyDescent="0.2">
      <c r="A853" s="332">
        <v>24027</v>
      </c>
      <c r="B853" s="321" t="s">
        <v>1560</v>
      </c>
      <c r="C853" s="1098"/>
      <c r="D853" s="1162">
        <f>'[15]Input Sheet'!Q146</f>
        <v>-4.9515432060000002</v>
      </c>
      <c r="F853" s="1131">
        <v>-3.4629025819999999</v>
      </c>
    </row>
    <row r="854" spans="1:6" x14ac:dyDescent="0.2">
      <c r="A854" s="332">
        <v>24031</v>
      </c>
      <c r="B854" s="321" t="s">
        <v>1561</v>
      </c>
      <c r="C854" s="1098"/>
      <c r="D854" s="1162">
        <f>'[15]Input Sheet'!Q147</f>
        <v>0</v>
      </c>
      <c r="F854" s="1131">
        <v>0</v>
      </c>
    </row>
    <row r="855" spans="1:6" x14ac:dyDescent="0.2">
      <c r="A855" s="332">
        <v>24032</v>
      </c>
      <c r="B855" s="321" t="s">
        <v>1562</v>
      </c>
      <c r="C855" s="1098"/>
      <c r="D855" s="1162">
        <f>'[15]Input Sheet'!Q148</f>
        <v>0</v>
      </c>
      <c r="F855" s="1131">
        <v>0</v>
      </c>
    </row>
    <row r="856" spans="1:6" x14ac:dyDescent="0.2">
      <c r="A856" s="332">
        <v>24033</v>
      </c>
      <c r="B856" s="321" t="s">
        <v>1563</v>
      </c>
      <c r="C856" s="1098"/>
      <c r="D856" s="1162">
        <f>'[15]Input Sheet'!Q149</f>
        <v>0</v>
      </c>
      <c r="F856" s="1131">
        <v>0</v>
      </c>
    </row>
    <row r="857" spans="1:6" ht="14.25" customHeight="1" x14ac:dyDescent="0.2">
      <c r="A857" s="332">
        <v>24034</v>
      </c>
      <c r="B857" s="321" t="s">
        <v>1564</v>
      </c>
      <c r="C857" s="1098"/>
      <c r="D857" s="1162">
        <f>'[15]Input Sheet'!Q150</f>
        <v>0</v>
      </c>
      <c r="F857" s="1131">
        <v>0</v>
      </c>
    </row>
    <row r="858" spans="1:6" ht="14.25" customHeight="1" x14ac:dyDescent="0.2">
      <c r="A858" s="332">
        <v>24037</v>
      </c>
      <c r="B858" s="429" t="s">
        <v>1565</v>
      </c>
      <c r="C858" s="1098"/>
      <c r="D858" s="1162">
        <f>'[15]Input Sheet'!Q151</f>
        <v>0</v>
      </c>
      <c r="F858" s="1131">
        <v>3.6066284000000004E-2</v>
      </c>
    </row>
    <row r="859" spans="1:6" ht="14.25" customHeight="1" x14ac:dyDescent="0.2">
      <c r="A859" s="332">
        <v>24039</v>
      </c>
      <c r="B859" s="429" t="s">
        <v>1566</v>
      </c>
      <c r="C859" s="1098"/>
      <c r="D859" s="1162">
        <f>'[15]Input Sheet'!Q152</f>
        <v>0.24888187000000001</v>
      </c>
      <c r="F859" s="1131">
        <v>0.24891052200000002</v>
      </c>
    </row>
    <row r="860" spans="1:6" x14ac:dyDescent="0.2">
      <c r="A860" s="332">
        <v>24051</v>
      </c>
      <c r="B860" s="321" t="s">
        <v>1567</v>
      </c>
      <c r="C860" s="1098"/>
      <c r="D860" s="1162">
        <f>'[15]Input Sheet'!Q155</f>
        <v>0</v>
      </c>
      <c r="F860" s="1131">
        <v>0</v>
      </c>
    </row>
    <row r="861" spans="1:6" x14ac:dyDescent="0.2">
      <c r="A861" s="332">
        <v>24052</v>
      </c>
      <c r="B861" s="321" t="s">
        <v>1568</v>
      </c>
      <c r="C861" s="1098"/>
      <c r="D861" s="1162">
        <f>'[15]Input Sheet'!Q156</f>
        <v>0</v>
      </c>
      <c r="F861" s="1131">
        <v>0</v>
      </c>
    </row>
    <row r="862" spans="1:6" x14ac:dyDescent="0.2">
      <c r="A862" s="332">
        <v>24071</v>
      </c>
      <c r="B862" s="321" t="s">
        <v>1569</v>
      </c>
      <c r="C862" s="1098"/>
      <c r="D862" s="1162">
        <f>'[15]Input Sheet'!Q159</f>
        <v>0</v>
      </c>
      <c r="F862" s="1131">
        <v>0</v>
      </c>
    </row>
    <row r="863" spans="1:6" x14ac:dyDescent="0.2">
      <c r="A863" s="332">
        <v>24072</v>
      </c>
      <c r="B863" s="321" t="s">
        <v>1570</v>
      </c>
      <c r="C863" s="1098"/>
      <c r="D863" s="1162">
        <f>'[15]Input Sheet'!Q160</f>
        <v>0</v>
      </c>
      <c r="F863" s="1131">
        <v>0</v>
      </c>
    </row>
    <row r="864" spans="1:6" x14ac:dyDescent="0.2">
      <c r="A864" s="332">
        <v>24081</v>
      </c>
      <c r="B864" s="321" t="s">
        <v>1571</v>
      </c>
      <c r="C864" s="1098"/>
      <c r="D864" s="1162">
        <f>'[15]Input Sheet'!Q161</f>
        <v>0</v>
      </c>
      <c r="F864" s="1131">
        <v>0</v>
      </c>
    </row>
    <row r="865" spans="1:6" x14ac:dyDescent="0.2">
      <c r="A865" s="332">
        <v>24082</v>
      </c>
      <c r="B865" s="321" t="s">
        <v>1572</v>
      </c>
      <c r="C865" s="1098"/>
      <c r="D865" s="1162">
        <f>'[15]Input Sheet'!Q162</f>
        <v>0</v>
      </c>
      <c r="F865" s="1131">
        <v>0</v>
      </c>
    </row>
    <row r="866" spans="1:6" x14ac:dyDescent="0.2">
      <c r="A866" s="332">
        <v>24083</v>
      </c>
      <c r="B866" s="321" t="s">
        <v>1573</v>
      </c>
      <c r="C866" s="1098"/>
      <c r="D866" s="1162">
        <f>'[15]Input Sheet'!Q163</f>
        <v>0</v>
      </c>
      <c r="F866" s="1131">
        <v>0</v>
      </c>
    </row>
    <row r="867" spans="1:6" x14ac:dyDescent="0.2">
      <c r="A867" s="332">
        <v>24084</v>
      </c>
      <c r="B867" s="321" t="s">
        <v>1574</v>
      </c>
      <c r="C867" s="1098"/>
      <c r="D867" s="1162">
        <f>'[15]Input Sheet'!Q164</f>
        <v>0</v>
      </c>
      <c r="F867" s="1131">
        <v>0</v>
      </c>
    </row>
    <row r="868" spans="1:6" x14ac:dyDescent="0.2">
      <c r="A868" s="332">
        <v>24086</v>
      </c>
      <c r="B868" s="321" t="s">
        <v>1575</v>
      </c>
      <c r="C868" s="1098"/>
      <c r="D868" s="1162">
        <f>'[15]Input Sheet'!Q165</f>
        <v>0</v>
      </c>
      <c r="F868" s="1131">
        <v>0</v>
      </c>
    </row>
    <row r="869" spans="1:6" x14ac:dyDescent="0.2">
      <c r="A869" s="332">
        <v>24087</v>
      </c>
      <c r="B869" s="321" t="s">
        <v>1576</v>
      </c>
      <c r="C869" s="1098"/>
      <c r="D869" s="1162">
        <f>'[15]Input Sheet'!Q166</f>
        <v>0</v>
      </c>
      <c r="F869" s="1131">
        <v>0</v>
      </c>
    </row>
    <row r="870" spans="1:6" x14ac:dyDescent="0.2">
      <c r="A870" s="332">
        <v>24088</v>
      </c>
      <c r="B870" s="321" t="s">
        <v>1577</v>
      </c>
      <c r="C870" s="1098"/>
      <c r="D870" s="1162">
        <f>'[15]Input Sheet'!Q167</f>
        <v>0</v>
      </c>
      <c r="F870" s="1131">
        <v>0</v>
      </c>
    </row>
    <row r="871" spans="1:6" x14ac:dyDescent="0.2">
      <c r="A871" s="332">
        <v>24089</v>
      </c>
      <c r="B871" s="321" t="s">
        <v>1578</v>
      </c>
      <c r="C871" s="1098"/>
      <c r="D871" s="1162">
        <f>'[15]Input Sheet'!Q168</f>
        <v>0</v>
      </c>
      <c r="F871" s="1131">
        <v>0</v>
      </c>
    </row>
    <row r="872" spans="1:6" x14ac:dyDescent="0.2">
      <c r="A872" s="332">
        <v>24091</v>
      </c>
      <c r="B872" s="321" t="s">
        <v>1579</v>
      </c>
      <c r="C872" s="1098"/>
      <c r="D872" s="1162">
        <f>'[15]Input Sheet'!Q169</f>
        <v>0</v>
      </c>
      <c r="F872" s="1131">
        <v>0</v>
      </c>
    </row>
    <row r="873" spans="1:6" x14ac:dyDescent="0.2">
      <c r="A873" s="332">
        <v>24092</v>
      </c>
      <c r="B873" s="321" t="s">
        <v>1580</v>
      </c>
      <c r="C873" s="1098"/>
      <c r="D873" s="1162">
        <f>'[15]Input Sheet'!Q170</f>
        <v>0</v>
      </c>
      <c r="F873" s="1131">
        <v>0</v>
      </c>
    </row>
    <row r="874" spans="1:6" x14ac:dyDescent="0.2">
      <c r="A874" s="332">
        <v>24101</v>
      </c>
      <c r="B874" s="321" t="s">
        <v>1581</v>
      </c>
      <c r="C874" s="1098"/>
      <c r="D874" s="1162">
        <f>'[15]Input Sheet'!Q171</f>
        <v>0</v>
      </c>
      <c r="F874" s="1131">
        <v>0</v>
      </c>
    </row>
    <row r="875" spans="1:6" x14ac:dyDescent="0.2">
      <c r="A875" s="332">
        <v>24102</v>
      </c>
      <c r="B875" s="321" t="s">
        <v>1582</v>
      </c>
      <c r="C875" s="1098"/>
      <c r="D875" s="1162">
        <f>'[15]Input Sheet'!Q172</f>
        <v>0</v>
      </c>
      <c r="F875" s="1131">
        <v>0</v>
      </c>
    </row>
    <row r="876" spans="1:6" x14ac:dyDescent="0.2">
      <c r="A876" s="332">
        <v>24111</v>
      </c>
      <c r="B876" s="321" t="s">
        <v>1583</v>
      </c>
      <c r="C876" s="1098"/>
      <c r="D876" s="1162">
        <f>'[15]Input Sheet'!Q173</f>
        <v>0</v>
      </c>
      <c r="F876" s="1131">
        <v>0</v>
      </c>
    </row>
    <row r="877" spans="1:6" x14ac:dyDescent="0.2">
      <c r="A877" s="332">
        <v>24112</v>
      </c>
      <c r="B877" s="321" t="s">
        <v>1584</v>
      </c>
      <c r="C877" s="1098"/>
      <c r="D877" s="1162">
        <f>'[15]Input Sheet'!Q174</f>
        <v>0</v>
      </c>
      <c r="F877" s="1131">
        <v>0</v>
      </c>
    </row>
    <row r="878" spans="1:6" x14ac:dyDescent="0.2">
      <c r="A878" s="332">
        <v>24121</v>
      </c>
      <c r="B878" s="321" t="s">
        <v>1585</v>
      </c>
      <c r="C878" s="1098"/>
      <c r="D878" s="1162">
        <f>'[15]Input Sheet'!Q175</f>
        <v>0</v>
      </c>
      <c r="F878" s="1131">
        <v>0</v>
      </c>
    </row>
    <row r="879" spans="1:6" x14ac:dyDescent="0.2">
      <c r="A879" s="332">
        <v>24122</v>
      </c>
      <c r="B879" s="321" t="s">
        <v>1586</v>
      </c>
      <c r="C879" s="1098"/>
      <c r="D879" s="1162">
        <f>'[15]Input Sheet'!Q176</f>
        <v>0</v>
      </c>
      <c r="F879" s="1131">
        <v>0</v>
      </c>
    </row>
    <row r="880" spans="1:6" x14ac:dyDescent="0.2">
      <c r="A880" s="332">
        <v>24123</v>
      </c>
      <c r="B880" s="321" t="s">
        <v>1587</v>
      </c>
      <c r="C880" s="1098"/>
      <c r="D880" s="1162">
        <f>'[15]Input Sheet'!Q177</f>
        <v>0</v>
      </c>
      <c r="F880" s="1131">
        <v>0</v>
      </c>
    </row>
    <row r="881" spans="1:6" x14ac:dyDescent="0.2">
      <c r="A881" s="332">
        <v>24124</v>
      </c>
      <c r="B881" s="321" t="s">
        <v>1588</v>
      </c>
      <c r="C881" s="1098"/>
      <c r="D881" s="1162">
        <f>'[15]Input Sheet'!Q178</f>
        <v>8.0316000000000003E-4</v>
      </c>
      <c r="F881" s="1131">
        <v>8.7277999999999998E-4</v>
      </c>
    </row>
    <row r="882" spans="1:6" x14ac:dyDescent="0.2">
      <c r="A882" s="332">
        <v>24126</v>
      </c>
      <c r="B882" s="321" t="s">
        <v>1589</v>
      </c>
      <c r="C882" s="1098"/>
      <c r="D882" s="1162"/>
    </row>
    <row r="883" spans="1:6" x14ac:dyDescent="0.2">
      <c r="A883" s="332">
        <v>24127</v>
      </c>
      <c r="B883" s="321" t="s">
        <v>1590</v>
      </c>
      <c r="C883" s="1098"/>
      <c r="D883" s="1162"/>
    </row>
    <row r="884" spans="1:6" x14ac:dyDescent="0.2">
      <c r="A884" s="332">
        <v>24128</v>
      </c>
      <c r="B884" s="321" t="s">
        <v>1591</v>
      </c>
      <c r="C884" s="1098"/>
      <c r="D884" s="1162"/>
    </row>
    <row r="885" spans="1:6" x14ac:dyDescent="0.2">
      <c r="A885" s="332">
        <v>24129</v>
      </c>
      <c r="B885" s="321" t="s">
        <v>1592</v>
      </c>
      <c r="C885" s="1098"/>
      <c r="D885" s="1162"/>
    </row>
    <row r="886" spans="1:6" x14ac:dyDescent="0.2">
      <c r="A886" s="332">
        <v>24131</v>
      </c>
      <c r="B886" s="321" t="s">
        <v>1593</v>
      </c>
      <c r="C886" s="1098"/>
      <c r="D886" s="1162">
        <f>'[15]Input Sheet'!Q183</f>
        <v>0</v>
      </c>
      <c r="F886" s="1131">
        <v>0</v>
      </c>
    </row>
    <row r="887" spans="1:6" x14ac:dyDescent="0.2">
      <c r="A887" s="332">
        <v>24132</v>
      </c>
      <c r="B887" s="321" t="s">
        <v>1594</v>
      </c>
      <c r="C887" s="1098"/>
      <c r="D887" s="1162">
        <f>'[15]Input Sheet'!Q184</f>
        <v>0</v>
      </c>
      <c r="F887" s="1131">
        <v>0</v>
      </c>
    </row>
    <row r="888" spans="1:6" x14ac:dyDescent="0.2">
      <c r="A888" s="332">
        <v>24133</v>
      </c>
      <c r="B888" s="321" t="s">
        <v>1595</v>
      </c>
      <c r="C888" s="1098"/>
      <c r="D888" s="1162">
        <f>'[15]Input Sheet'!Q185</f>
        <v>-0.92</v>
      </c>
      <c r="F888" s="1131">
        <v>-0.92</v>
      </c>
    </row>
    <row r="889" spans="1:6" x14ac:dyDescent="0.2">
      <c r="A889" s="332">
        <v>24134</v>
      </c>
      <c r="B889" s="321" t="s">
        <v>1596</v>
      </c>
      <c r="C889" s="1098"/>
      <c r="D889" s="1162">
        <f>'[15]Input Sheet'!Q186</f>
        <v>0.92226775900000002</v>
      </c>
      <c r="F889" s="1131">
        <v>0.92795316699999997</v>
      </c>
    </row>
    <row r="890" spans="1:6" x14ac:dyDescent="0.2">
      <c r="A890" s="332">
        <v>24136</v>
      </c>
      <c r="B890" s="321" t="s">
        <v>1597</v>
      </c>
      <c r="C890" s="1098"/>
      <c r="D890" s="1162"/>
    </row>
    <row r="891" spans="1:6" x14ac:dyDescent="0.2">
      <c r="A891" s="332">
        <v>24137</v>
      </c>
      <c r="B891" s="431" t="s">
        <v>1598</v>
      </c>
      <c r="C891" s="1098"/>
      <c r="D891" s="1162"/>
    </row>
    <row r="892" spans="1:6" x14ac:dyDescent="0.2">
      <c r="A892" s="332">
        <v>24139</v>
      </c>
      <c r="B892" s="431" t="s">
        <v>1599</v>
      </c>
      <c r="C892" s="1098"/>
      <c r="D892" s="1162"/>
    </row>
    <row r="893" spans="1:6" x14ac:dyDescent="0.2">
      <c r="A893" s="332">
        <v>24141</v>
      </c>
      <c r="B893" s="321" t="s">
        <v>1600</v>
      </c>
      <c r="C893" s="1098"/>
      <c r="D893" s="1162">
        <f>'[15]Input Sheet'!Q190</f>
        <v>-3.1310970000000002E-3</v>
      </c>
      <c r="F893" s="1131">
        <v>1.041003E-3</v>
      </c>
    </row>
    <row r="894" spans="1:6" x14ac:dyDescent="0.2">
      <c r="A894" s="332">
        <v>24142</v>
      </c>
      <c r="B894" s="321" t="s">
        <v>1601</v>
      </c>
      <c r="C894" s="1098"/>
      <c r="D894" s="1162">
        <f>'[15]Input Sheet'!Q191</f>
        <v>2.1045789000000002E-2</v>
      </c>
      <c r="F894" s="1131">
        <v>5.2203665000000003E-2</v>
      </c>
    </row>
    <row r="895" spans="1:6" x14ac:dyDescent="0.2">
      <c r="A895" s="332">
        <v>24151</v>
      </c>
      <c r="B895" s="321" t="s">
        <v>1602</v>
      </c>
      <c r="C895" s="1098"/>
      <c r="D895" s="1162">
        <f>'[15]Input Sheet'!Q192</f>
        <v>0</v>
      </c>
      <c r="F895" s="1131">
        <v>0</v>
      </c>
    </row>
    <row r="896" spans="1:6" x14ac:dyDescent="0.2">
      <c r="A896" s="332">
        <v>24152</v>
      </c>
      <c r="B896" s="321" t="s">
        <v>1603</v>
      </c>
      <c r="C896" s="1098"/>
      <c r="D896" s="1162">
        <f>'[15]Input Sheet'!Q193</f>
        <v>0</v>
      </c>
      <c r="F896" s="1131">
        <v>0</v>
      </c>
    </row>
    <row r="897" spans="1:6" x14ac:dyDescent="0.2">
      <c r="A897" s="332">
        <v>24161</v>
      </c>
      <c r="B897" s="321" t="s">
        <v>1604</v>
      </c>
      <c r="C897" s="1098"/>
      <c r="D897" s="1162">
        <f>'[15]Input Sheet'!Q194</f>
        <v>0</v>
      </c>
      <c r="F897" s="1131">
        <v>0</v>
      </c>
    </row>
    <row r="898" spans="1:6" x14ac:dyDescent="0.2">
      <c r="A898" s="332">
        <v>24162</v>
      </c>
      <c r="B898" s="321" t="s">
        <v>1605</v>
      </c>
      <c r="C898" s="1098"/>
      <c r="D898" s="1162">
        <f>'[15]Input Sheet'!Q195</f>
        <v>0</v>
      </c>
      <c r="F898" s="1131">
        <v>0</v>
      </c>
    </row>
    <row r="899" spans="1:6" x14ac:dyDescent="0.2">
      <c r="A899" s="332">
        <v>24171</v>
      </c>
      <c r="B899" s="321" t="s">
        <v>1606</v>
      </c>
      <c r="C899" s="1098"/>
      <c r="D899" s="1162">
        <f>'[15]Input Sheet'!Q196</f>
        <v>6.3761999999999998E-4</v>
      </c>
      <c r="F899" s="1131">
        <v>6.3761999999999998E-4</v>
      </c>
    </row>
    <row r="900" spans="1:6" x14ac:dyDescent="0.2">
      <c r="A900" s="332">
        <v>24172</v>
      </c>
      <c r="B900" s="321" t="s">
        <v>1607</v>
      </c>
      <c r="C900" s="1098"/>
      <c r="D900" s="1162">
        <f>'[15]Input Sheet'!Q197</f>
        <v>1.0788252E-2</v>
      </c>
      <c r="F900" s="1131">
        <v>3.5173519999999996E-3</v>
      </c>
    </row>
    <row r="901" spans="1:6" x14ac:dyDescent="0.2">
      <c r="A901" s="332">
        <v>24174</v>
      </c>
      <c r="B901" s="321" t="s">
        <v>1608</v>
      </c>
      <c r="C901" s="1163"/>
      <c r="D901" s="1162">
        <f>'[15]Input Sheet'!Q198</f>
        <v>259.33296949999999</v>
      </c>
      <c r="E901" s="1164"/>
      <c r="F901" s="1164"/>
    </row>
    <row r="902" spans="1:6" x14ac:dyDescent="0.2">
      <c r="A902" s="332">
        <v>24181</v>
      </c>
      <c r="B902" s="321" t="s">
        <v>1609</v>
      </c>
      <c r="C902" s="1098"/>
      <c r="D902" s="1162">
        <f>'[15]Input Sheet'!Q199</f>
        <v>0</v>
      </c>
      <c r="F902" s="1131">
        <v>0</v>
      </c>
    </row>
    <row r="903" spans="1:6" x14ac:dyDescent="0.2">
      <c r="A903" s="332">
        <v>24182</v>
      </c>
      <c r="B903" s="321" t="s">
        <v>1610</v>
      </c>
      <c r="C903" s="1098"/>
      <c r="D903" s="1162">
        <f>'[15]Input Sheet'!Q200</f>
        <v>0</v>
      </c>
      <c r="F903" s="1131">
        <v>0</v>
      </c>
    </row>
    <row r="904" spans="1:6" x14ac:dyDescent="0.2">
      <c r="A904" s="332">
        <v>24184</v>
      </c>
      <c r="B904" s="321" t="s">
        <v>1611</v>
      </c>
      <c r="C904" s="1098"/>
      <c r="D904" s="1162">
        <f>'[15]Input Sheet'!Q201</f>
        <v>9.8377399999999998E-4</v>
      </c>
    </row>
    <row r="905" spans="1:6" x14ac:dyDescent="0.2">
      <c r="A905" s="332">
        <v>24191</v>
      </c>
      <c r="B905" s="321" t="s">
        <v>1612</v>
      </c>
      <c r="C905" s="1098"/>
      <c r="D905" s="1162">
        <f>'[15]Input Sheet'!Q202</f>
        <v>0</v>
      </c>
      <c r="F905" s="1131">
        <v>0</v>
      </c>
    </row>
    <row r="906" spans="1:6" x14ac:dyDescent="0.2">
      <c r="A906" s="332">
        <v>24192</v>
      </c>
      <c r="B906" s="321" t="s">
        <v>1613</v>
      </c>
      <c r="C906" s="1098"/>
      <c r="D906" s="1162">
        <f>'[15]Input Sheet'!Q203</f>
        <v>0</v>
      </c>
      <c r="F906" s="1131">
        <v>0</v>
      </c>
    </row>
    <row r="907" spans="1:6" x14ac:dyDescent="0.2">
      <c r="A907" s="332">
        <v>24201</v>
      </c>
      <c r="B907" s="321" t="s">
        <v>1614</v>
      </c>
      <c r="C907" s="1098"/>
      <c r="D907" s="1162">
        <f>'[15]Input Sheet'!Q205</f>
        <v>4.226067E-3</v>
      </c>
      <c r="F907" s="1131">
        <v>4.226067E-3</v>
      </c>
    </row>
    <row r="908" spans="1:6" x14ac:dyDescent="0.2">
      <c r="A908" s="332">
        <v>24202</v>
      </c>
      <c r="B908" s="321" t="s">
        <v>1615</v>
      </c>
      <c r="C908" s="1098"/>
      <c r="D908" s="1162">
        <f>'[15]Input Sheet'!Q206</f>
        <v>7.55088E-4</v>
      </c>
      <c r="F908" s="1131">
        <v>2.5297488E-2</v>
      </c>
    </row>
    <row r="909" spans="1:6" x14ac:dyDescent="0.2">
      <c r="A909" s="332">
        <v>24206</v>
      </c>
      <c r="B909" s="321" t="s">
        <v>1616</v>
      </c>
      <c r="C909" s="1098"/>
      <c r="D909" s="1162">
        <f>'[15]Input Sheet'!Q207</f>
        <v>1.5947979999999999E-3</v>
      </c>
      <c r="F909" s="1131">
        <v>1.5947979999999999E-3</v>
      </c>
    </row>
    <row r="910" spans="1:6" x14ac:dyDescent="0.2">
      <c r="A910" s="332">
        <v>24207</v>
      </c>
      <c r="B910" s="321" t="s">
        <v>1617</v>
      </c>
      <c r="C910" s="1098"/>
      <c r="D910" s="1162">
        <f>'[15]Input Sheet'!Q208</f>
        <v>2.5719880000000003E-3</v>
      </c>
      <c r="F910" s="1131">
        <v>2.666388E-3</v>
      </c>
    </row>
    <row r="911" spans="1:6" x14ac:dyDescent="0.2">
      <c r="A911" s="332">
        <v>24211</v>
      </c>
      <c r="B911" s="321" t="s">
        <v>1618</v>
      </c>
      <c r="C911" s="1098"/>
      <c r="D911" s="1162">
        <f>'[15]Input Sheet'!Q209</f>
        <v>0</v>
      </c>
      <c r="F911" s="1131">
        <v>0</v>
      </c>
    </row>
    <row r="912" spans="1:6" x14ac:dyDescent="0.2">
      <c r="A912" s="332">
        <v>24212</v>
      </c>
      <c r="B912" s="321" t="s">
        <v>1619</v>
      </c>
      <c r="C912" s="1098"/>
      <c r="D912" s="1162">
        <f>'[15]Input Sheet'!Q210</f>
        <v>0</v>
      </c>
      <c r="F912" s="1131">
        <v>0</v>
      </c>
    </row>
    <row r="913" spans="1:6" x14ac:dyDescent="0.2">
      <c r="A913" s="332">
        <v>24213</v>
      </c>
      <c r="B913" s="321" t="s">
        <v>1620</v>
      </c>
      <c r="C913" s="1098"/>
      <c r="D913" s="1162">
        <f>'[15]Input Sheet'!Q211</f>
        <v>0</v>
      </c>
      <c r="F913" s="1131">
        <v>0</v>
      </c>
    </row>
    <row r="914" spans="1:6" x14ac:dyDescent="0.2">
      <c r="A914" s="332">
        <v>24214</v>
      </c>
      <c r="B914" s="321" t="s">
        <v>1621</v>
      </c>
      <c r="C914" s="1098"/>
      <c r="D914" s="1162">
        <f>'[15]Input Sheet'!Q212</f>
        <v>0</v>
      </c>
      <c r="F914" s="1131">
        <v>0</v>
      </c>
    </row>
    <row r="915" spans="1:6" x14ac:dyDescent="0.2">
      <c r="A915" s="332">
        <v>24216</v>
      </c>
      <c r="B915" s="321" t="s">
        <v>1622</v>
      </c>
      <c r="C915" s="1098"/>
      <c r="D915" s="1162">
        <f>'[15]Input Sheet'!Q213</f>
        <v>0</v>
      </c>
      <c r="F915" s="1131">
        <v>0</v>
      </c>
    </row>
    <row r="916" spans="1:6" x14ac:dyDescent="0.2">
      <c r="A916" s="332">
        <v>24217</v>
      </c>
      <c r="B916" s="321" t="s">
        <v>1623</v>
      </c>
      <c r="C916" s="1098"/>
      <c r="D916" s="1162">
        <f>'[15]Input Sheet'!Q214</f>
        <v>0</v>
      </c>
      <c r="F916" s="1131">
        <v>0</v>
      </c>
    </row>
    <row r="917" spans="1:6" x14ac:dyDescent="0.2">
      <c r="A917" s="332">
        <v>24221</v>
      </c>
      <c r="B917" s="321" t="s">
        <v>1624</v>
      </c>
      <c r="C917" s="1098"/>
      <c r="D917" s="1162">
        <f>'[15]Input Sheet'!Q215</f>
        <v>0.27321061699999999</v>
      </c>
      <c r="F917" s="1098">
        <v>0.27321061699999999</v>
      </c>
    </row>
    <row r="918" spans="1:6" x14ac:dyDescent="0.2">
      <c r="A918" s="332">
        <v>24222</v>
      </c>
      <c r="B918" s="321" t="s">
        <v>1625</v>
      </c>
      <c r="C918" s="1098"/>
      <c r="D918" s="1162">
        <f>'[15]Input Sheet'!Q216</f>
        <v>-0.193485987</v>
      </c>
      <c r="F918" s="1098">
        <v>-0.19259038000000001</v>
      </c>
    </row>
    <row r="919" spans="1:6" x14ac:dyDescent="0.2">
      <c r="A919" s="332">
        <v>24223</v>
      </c>
      <c r="B919" s="321" t="s">
        <v>1626</v>
      </c>
      <c r="C919" s="1098"/>
      <c r="D919" s="1162">
        <f>'[15]Input Sheet'!Q217</f>
        <v>5.0000000000000001E-4</v>
      </c>
      <c r="F919" s="1098">
        <v>5.0000000000000001E-4</v>
      </c>
    </row>
    <row r="920" spans="1:6" x14ac:dyDescent="0.2">
      <c r="A920" s="332">
        <v>24224</v>
      </c>
      <c r="B920" s="321" t="s">
        <v>1627</v>
      </c>
      <c r="C920" s="1098"/>
      <c r="D920" s="1162">
        <f>'[15]Input Sheet'!Q218</f>
        <v>-4.9991E-4</v>
      </c>
      <c r="F920" s="1098">
        <v>-2.5675999999999999E-5</v>
      </c>
    </row>
    <row r="921" spans="1:6" x14ac:dyDescent="0.2">
      <c r="A921" s="332">
        <v>24231</v>
      </c>
      <c r="B921" s="321" t="s">
        <v>1628</v>
      </c>
      <c r="C921" s="1098"/>
      <c r="D921" s="1162">
        <f>'[15]Input Sheet'!Q219</f>
        <v>5.0005799999999995E-4</v>
      </c>
      <c r="F921" s="1098">
        <v>5.0005799999999995E-4</v>
      </c>
    </row>
    <row r="922" spans="1:6" x14ac:dyDescent="0.2">
      <c r="A922" s="332">
        <v>24232</v>
      </c>
      <c r="B922" s="321" t="s">
        <v>1629</v>
      </c>
      <c r="C922" s="1098"/>
      <c r="D922" s="1162">
        <f>'[15]Input Sheet'!Q220</f>
        <v>-4.7205799999999997E-4</v>
      </c>
      <c r="F922" s="1098">
        <v>-4.5735799999999999E-4</v>
      </c>
    </row>
    <row r="923" spans="1:6" x14ac:dyDescent="0.2">
      <c r="A923" s="332">
        <v>24241</v>
      </c>
      <c r="B923" s="321" t="s">
        <v>1630</v>
      </c>
      <c r="C923" s="1098"/>
      <c r="D923" s="1162">
        <f>'[15]Input Sheet'!Q221</f>
        <v>9.5619376000000006E-2</v>
      </c>
      <c r="F923" s="1098">
        <v>9.5619376000000006E-2</v>
      </c>
    </row>
    <row r="924" spans="1:6" x14ac:dyDescent="0.2">
      <c r="A924" s="332">
        <v>24242</v>
      </c>
      <c r="B924" s="321" t="s">
        <v>1631</v>
      </c>
      <c r="C924" s="1098"/>
      <c r="D924" s="1162">
        <f>'[15]Input Sheet'!Q222</f>
        <v>-2.9742330000000002E-3</v>
      </c>
      <c r="F924" s="1098">
        <v>-2.9803586999999999E-2</v>
      </c>
    </row>
    <row r="925" spans="1:6" x14ac:dyDescent="0.2">
      <c r="A925" s="332">
        <v>24251</v>
      </c>
      <c r="B925" s="321" t="s">
        <v>1632</v>
      </c>
      <c r="C925" s="1098"/>
      <c r="D925" s="1162">
        <f>'[15]Input Sheet'!Q223</f>
        <v>0</v>
      </c>
      <c r="F925" s="1098">
        <v>0</v>
      </c>
    </row>
    <row r="926" spans="1:6" x14ac:dyDescent="0.2">
      <c r="A926" s="332">
        <v>24252</v>
      </c>
      <c r="B926" s="321" t="s">
        <v>1633</v>
      </c>
      <c r="C926" s="1098"/>
      <c r="D926" s="1162">
        <f>'[15]Input Sheet'!Q224</f>
        <v>0</v>
      </c>
      <c r="F926" s="1098">
        <v>0</v>
      </c>
    </row>
    <row r="927" spans="1:6" x14ac:dyDescent="0.2">
      <c r="A927" s="332">
        <v>24253</v>
      </c>
      <c r="B927" s="321" t="s">
        <v>1634</v>
      </c>
      <c r="C927" s="1098"/>
      <c r="D927" s="1162">
        <f>'[15]Input Sheet'!Q225</f>
        <v>1.5594479999999999E-2</v>
      </c>
      <c r="F927" s="1098">
        <v>1.5594479999999999E-2</v>
      </c>
    </row>
    <row r="928" spans="1:6" x14ac:dyDescent="0.2">
      <c r="A928" s="332">
        <v>24254</v>
      </c>
      <c r="B928" s="321" t="s">
        <v>1635</v>
      </c>
      <c r="C928" s="1098"/>
      <c r="D928" s="1162">
        <f>'[15]Input Sheet'!Q226</f>
        <v>0.16340547999999999</v>
      </c>
      <c r="F928" s="1098">
        <v>2.1802000000000002E-3</v>
      </c>
    </row>
    <row r="929" spans="1:6" x14ac:dyDescent="0.2">
      <c r="A929" s="332">
        <v>24256</v>
      </c>
      <c r="B929" s="321" t="s">
        <v>1636</v>
      </c>
      <c r="C929" s="1098"/>
      <c r="D929" s="1162">
        <f>'[15]Input Sheet'!Q227</f>
        <v>1.83873E-3</v>
      </c>
      <c r="F929" s="1098">
        <v>1.83873E-3</v>
      </c>
    </row>
    <row r="930" spans="1:6" x14ac:dyDescent="0.2">
      <c r="A930" s="332">
        <v>24257</v>
      </c>
      <c r="B930" s="321" t="s">
        <v>1637</v>
      </c>
      <c r="C930" s="1098"/>
      <c r="D930" s="1162">
        <f>'[15]Input Sheet'!Q228</f>
        <v>0</v>
      </c>
      <c r="F930" s="1131">
        <v>0</v>
      </c>
    </row>
    <row r="931" spans="1:6" x14ac:dyDescent="0.2">
      <c r="A931" s="332">
        <v>24258</v>
      </c>
      <c r="B931" s="321" t="s">
        <v>1638</v>
      </c>
      <c r="C931" s="1098"/>
      <c r="D931" s="1162">
        <f>'[15]Input Sheet'!Q229</f>
        <v>0</v>
      </c>
      <c r="F931" s="1131">
        <v>0</v>
      </c>
    </row>
    <row r="932" spans="1:6" x14ac:dyDescent="0.2">
      <c r="A932" s="332">
        <v>24259</v>
      </c>
      <c r="B932" s="321" t="s">
        <v>1639</v>
      </c>
      <c r="C932" s="1098"/>
      <c r="D932" s="1162">
        <f>'[15]Input Sheet'!Q230</f>
        <v>0</v>
      </c>
      <c r="F932" s="1131">
        <v>0</v>
      </c>
    </row>
    <row r="933" spans="1:6" x14ac:dyDescent="0.2">
      <c r="A933" s="332">
        <v>24398</v>
      </c>
      <c r="B933" s="321" t="s">
        <v>1640</v>
      </c>
      <c r="C933" s="1098"/>
      <c r="D933" s="1162">
        <f>'[15]Input Sheet'!Q231</f>
        <v>0</v>
      </c>
      <c r="F933" s="1131">
        <v>0</v>
      </c>
    </row>
    <row r="934" spans="1:6" x14ac:dyDescent="0.2">
      <c r="A934" s="332">
        <v>24399</v>
      </c>
      <c r="B934" s="321" t="s">
        <v>1641</v>
      </c>
      <c r="C934" s="1098"/>
      <c r="D934" s="1162">
        <f>'[15]Input Sheet'!Q232</f>
        <v>2.9388000000000001E-3</v>
      </c>
      <c r="F934" s="1131">
        <v>3.9947000000000003E-3</v>
      </c>
    </row>
    <row r="935" spans="1:6" x14ac:dyDescent="0.2">
      <c r="A935" s="332">
        <v>24411</v>
      </c>
      <c r="B935" s="321" t="s">
        <v>1642</v>
      </c>
      <c r="C935" s="1098"/>
      <c r="D935" s="1162">
        <f>'[15]Input Sheet'!Q234</f>
        <v>0.59440078899999993</v>
      </c>
      <c r="F935" s="1131">
        <v>12.739934876000001</v>
      </c>
    </row>
    <row r="936" spans="1:6" x14ac:dyDescent="0.2">
      <c r="A936" s="332">
        <v>24412</v>
      </c>
      <c r="B936" s="321" t="s">
        <v>1643</v>
      </c>
      <c r="C936" s="1098"/>
      <c r="D936" s="1162">
        <f>'[15]Input Sheet'!Q235</f>
        <v>-6.1269499999999998E-2</v>
      </c>
      <c r="F936" s="1131">
        <v>-12.3919502</v>
      </c>
    </row>
    <row r="937" spans="1:6" x14ac:dyDescent="0.2">
      <c r="A937" s="332">
        <v>24416</v>
      </c>
      <c r="B937" s="321" t="s">
        <v>1644</v>
      </c>
      <c r="C937" s="1098"/>
      <c r="D937" s="1162">
        <f>'[15]Input Sheet'!Q236</f>
        <v>0</v>
      </c>
      <c r="F937" s="1131">
        <v>0</v>
      </c>
    </row>
    <row r="938" spans="1:6" x14ac:dyDescent="0.2">
      <c r="A938" s="332">
        <v>24417</v>
      </c>
      <c r="B938" s="321" t="s">
        <v>1645</v>
      </c>
      <c r="C938" s="1098"/>
      <c r="D938" s="1162">
        <f>'[15]Input Sheet'!Q237</f>
        <v>0</v>
      </c>
      <c r="F938" s="1131">
        <v>0</v>
      </c>
    </row>
    <row r="939" spans="1:6" x14ac:dyDescent="0.2">
      <c r="A939" s="332">
        <v>24421</v>
      </c>
      <c r="B939" s="321" t="s">
        <v>1646</v>
      </c>
      <c r="C939" s="1098"/>
      <c r="D939" s="1162">
        <f>'[15]Input Sheet'!Q238</f>
        <v>0</v>
      </c>
      <c r="F939" s="1131">
        <v>0</v>
      </c>
    </row>
    <row r="940" spans="1:6" x14ac:dyDescent="0.2">
      <c r="A940" s="332">
        <v>24422</v>
      </c>
      <c r="B940" s="321" t="s">
        <v>1647</v>
      </c>
      <c r="C940" s="1098"/>
      <c r="D940" s="1162">
        <f>'[15]Input Sheet'!Q239</f>
        <v>0</v>
      </c>
      <c r="F940" s="1131">
        <v>0</v>
      </c>
    </row>
    <row r="941" spans="1:6" x14ac:dyDescent="0.2">
      <c r="A941" s="332">
        <v>24431</v>
      </c>
      <c r="B941" s="321" t="s">
        <v>1648</v>
      </c>
      <c r="C941" s="1098"/>
      <c r="D941" s="1162">
        <f>'[15]Input Sheet'!Q241</f>
        <v>9.0243488529999993</v>
      </c>
      <c r="F941" s="1131">
        <v>33.931161406000001</v>
      </c>
    </row>
    <row r="942" spans="1:6" x14ac:dyDescent="0.2">
      <c r="A942" s="332">
        <v>24432</v>
      </c>
      <c r="B942" s="321" t="s">
        <v>1649</v>
      </c>
      <c r="C942" s="1098"/>
      <c r="D942" s="1162">
        <f>'[15]Input Sheet'!Q242</f>
        <v>-8.9776749999999996</v>
      </c>
      <c r="F942" s="1131">
        <v>-32.856782600000003</v>
      </c>
    </row>
    <row r="943" spans="1:6" x14ac:dyDescent="0.2">
      <c r="A943" s="332">
        <v>24436</v>
      </c>
      <c r="B943" s="321" t="s">
        <v>1650</v>
      </c>
      <c r="C943" s="1098"/>
      <c r="D943" s="1162">
        <f>'[15]Input Sheet'!Q243</f>
        <v>0</v>
      </c>
      <c r="F943" s="1131">
        <v>0</v>
      </c>
    </row>
    <row r="944" spans="1:6" x14ac:dyDescent="0.2">
      <c r="A944" s="332">
        <v>24437</v>
      </c>
      <c r="B944" s="321" t="s">
        <v>1651</v>
      </c>
      <c r="C944" s="1098"/>
      <c r="D944" s="1162">
        <f>'[15]Input Sheet'!Q244</f>
        <v>0</v>
      </c>
      <c r="F944" s="1131">
        <v>0</v>
      </c>
    </row>
    <row r="945" spans="1:6" x14ac:dyDescent="0.2">
      <c r="A945" s="332">
        <v>24441</v>
      </c>
      <c r="B945" s="321" t="s">
        <v>1652</v>
      </c>
      <c r="C945" s="1098"/>
      <c r="D945" s="1162">
        <f>'[15]Input Sheet'!Q246</f>
        <v>2.9751112530000001</v>
      </c>
      <c r="F945" s="1131">
        <v>25.903560038999998</v>
      </c>
    </row>
    <row r="946" spans="1:6" x14ac:dyDescent="0.2">
      <c r="A946" s="332">
        <v>24442</v>
      </c>
      <c r="B946" s="321" t="s">
        <v>1653</v>
      </c>
      <c r="C946" s="1098"/>
      <c r="D946" s="1162">
        <f>'[15]Input Sheet'!Q247</f>
        <v>1.0538362400000001</v>
      </c>
      <c r="F946" s="1131">
        <v>-22.358605699999998</v>
      </c>
    </row>
    <row r="947" spans="1:6" x14ac:dyDescent="0.2">
      <c r="A947" s="332">
        <v>24446</v>
      </c>
      <c r="B947" s="321" t="s">
        <v>1654</v>
      </c>
      <c r="C947" s="1098"/>
      <c r="D947" s="1162">
        <f>'[15]Input Sheet'!Q248</f>
        <v>0</v>
      </c>
      <c r="F947" s="1131">
        <v>0</v>
      </c>
    </row>
    <row r="948" spans="1:6" x14ac:dyDescent="0.2">
      <c r="A948" s="332">
        <v>24447</v>
      </c>
      <c r="B948" s="321" t="s">
        <v>1655</v>
      </c>
      <c r="C948" s="1098"/>
      <c r="D948" s="1162">
        <f>'[15]Input Sheet'!Q249</f>
        <v>0</v>
      </c>
      <c r="F948" s="1131">
        <v>0</v>
      </c>
    </row>
    <row r="949" spans="1:6" x14ac:dyDescent="0.2">
      <c r="A949" s="332">
        <v>24448</v>
      </c>
      <c r="B949" s="321" t="s">
        <v>1656</v>
      </c>
      <c r="C949" s="1098"/>
      <c r="D949" s="1162">
        <f>'[15]Input Sheet'!Q250</f>
        <v>9.1116050000000004E-2</v>
      </c>
      <c r="F949" s="1131">
        <v>0.10727285</v>
      </c>
    </row>
    <row r="950" spans="1:6" x14ac:dyDescent="0.2">
      <c r="A950" s="332">
        <v>24449</v>
      </c>
      <c r="B950" s="321" t="s">
        <v>1657</v>
      </c>
      <c r="C950" s="1098"/>
      <c r="D950" s="1162">
        <f>'[15]Input Sheet'!Q251</f>
        <v>-1.024E-4</v>
      </c>
      <c r="F950" s="1131">
        <v>2.5</v>
      </c>
    </row>
    <row r="951" spans="1:6" x14ac:dyDescent="0.2">
      <c r="A951" s="332">
        <v>24451</v>
      </c>
      <c r="B951" s="321" t="s">
        <v>1658</v>
      </c>
      <c r="C951" s="1098"/>
      <c r="D951" s="1162">
        <f>'[15]Input Sheet'!Q253</f>
        <v>2.2371499999999998E-3</v>
      </c>
      <c r="F951" s="1131">
        <v>2.2371499999999998E-3</v>
      </c>
    </row>
    <row r="952" spans="1:6" x14ac:dyDescent="0.2">
      <c r="A952" s="332">
        <v>24452</v>
      </c>
      <c r="B952" s="321" t="s">
        <v>1659</v>
      </c>
      <c r="C952" s="1098"/>
      <c r="D952" s="1162">
        <f>'[15]Input Sheet'!Q254</f>
        <v>0</v>
      </c>
      <c r="F952" s="1131">
        <v>0</v>
      </c>
    </row>
    <row r="953" spans="1:6" x14ac:dyDescent="0.2">
      <c r="A953" s="332">
        <v>24456</v>
      </c>
      <c r="B953" s="321" t="s">
        <v>1660</v>
      </c>
      <c r="C953" s="1098"/>
      <c r="D953" s="1162">
        <f>'[15]Input Sheet'!Q255</f>
        <v>0</v>
      </c>
      <c r="F953" s="1131">
        <v>0</v>
      </c>
    </row>
    <row r="954" spans="1:6" x14ac:dyDescent="0.2">
      <c r="A954" s="332">
        <v>24457</v>
      </c>
      <c r="B954" s="321" t="s">
        <v>1661</v>
      </c>
      <c r="C954" s="1098"/>
      <c r="D954" s="1162">
        <f>'[15]Input Sheet'!Q256</f>
        <v>0</v>
      </c>
      <c r="F954" s="1131">
        <v>0</v>
      </c>
    </row>
    <row r="955" spans="1:6" x14ac:dyDescent="0.2">
      <c r="A955" s="332">
        <v>24458</v>
      </c>
      <c r="B955" s="321" t="s">
        <v>1662</v>
      </c>
      <c r="C955" s="1098"/>
      <c r="D955" s="1162">
        <f>'[15]Input Sheet'!Q257</f>
        <v>0</v>
      </c>
      <c r="F955" s="1131">
        <v>2.0547529999999998E-2</v>
      </c>
    </row>
    <row r="956" spans="1:6" x14ac:dyDescent="0.2">
      <c r="A956" s="332">
        <v>24459</v>
      </c>
      <c r="B956" s="321" t="s">
        <v>1663</v>
      </c>
      <c r="C956" s="1098"/>
      <c r="D956" s="1162">
        <f>'[15]Input Sheet'!Q258</f>
        <v>0</v>
      </c>
      <c r="F956" s="1131">
        <v>-1.5157500000000001E-2</v>
      </c>
    </row>
    <row r="957" spans="1:6" x14ac:dyDescent="0.2">
      <c r="A957" s="332">
        <v>24461</v>
      </c>
      <c r="B957" s="321" t="s">
        <v>1664</v>
      </c>
      <c r="C957" s="1098"/>
      <c r="D957" s="1162">
        <f>'[15]Input Sheet'!Q260</f>
        <v>0.270957903</v>
      </c>
      <c r="F957" s="1131">
        <v>6.9569501980000004</v>
      </c>
    </row>
    <row r="958" spans="1:6" x14ac:dyDescent="0.2">
      <c r="A958" s="332">
        <v>24462</v>
      </c>
      <c r="B958" s="321" t="s">
        <v>1665</v>
      </c>
      <c r="C958" s="1098"/>
      <c r="D958" s="1162">
        <f>'[15]Input Sheet'!Q261</f>
        <v>-0.207261428</v>
      </c>
      <c r="F958" s="1131">
        <v>-6.9500989000000004</v>
      </c>
    </row>
    <row r="959" spans="1:6" x14ac:dyDescent="0.2">
      <c r="A959" s="332">
        <v>24466</v>
      </c>
      <c r="B959" s="321" t="s">
        <v>1666</v>
      </c>
      <c r="C959" s="1098"/>
      <c r="D959" s="1162">
        <f>'[15]Input Sheet'!Q262</f>
        <v>0</v>
      </c>
      <c r="F959" s="1131">
        <v>0</v>
      </c>
    </row>
    <row r="960" spans="1:6" x14ac:dyDescent="0.2">
      <c r="A960" s="332">
        <v>24467</v>
      </c>
      <c r="B960" s="321" t="s">
        <v>1667</v>
      </c>
      <c r="C960" s="1098"/>
      <c r="D960" s="1162">
        <f>'[15]Input Sheet'!Q263</f>
        <v>0</v>
      </c>
      <c r="F960" s="1131">
        <v>0</v>
      </c>
    </row>
    <row r="961" spans="1:6" x14ac:dyDescent="0.2">
      <c r="A961" s="332">
        <v>24468</v>
      </c>
      <c r="B961" s="321" t="s">
        <v>1668</v>
      </c>
      <c r="C961" s="1098"/>
      <c r="D961" s="1162">
        <f>'[15]Input Sheet'!Q264</f>
        <v>0</v>
      </c>
      <c r="F961" s="1131">
        <v>0</v>
      </c>
    </row>
    <row r="962" spans="1:6" x14ac:dyDescent="0.2">
      <c r="A962" s="332">
        <v>24469</v>
      </c>
      <c r="B962" s="321" t="s">
        <v>1669</v>
      </c>
      <c r="C962" s="1098"/>
      <c r="D962" s="1162">
        <f>'[15]Input Sheet'!Q265</f>
        <v>2.6327999999999998E-3</v>
      </c>
      <c r="F962" s="1131">
        <v>6.6591000000000003E-3</v>
      </c>
    </row>
    <row r="963" spans="1:6" x14ac:dyDescent="0.2">
      <c r="A963" s="332">
        <v>24471</v>
      </c>
      <c r="B963" s="321" t="s">
        <v>1670</v>
      </c>
      <c r="C963" s="1098"/>
      <c r="D963" s="1162">
        <f>'[15]Input Sheet'!Q267</f>
        <v>2.7529640959999999</v>
      </c>
      <c r="F963" s="1131">
        <v>5.2436185990000004</v>
      </c>
    </row>
    <row r="964" spans="1:6" x14ac:dyDescent="0.2">
      <c r="A964" s="332">
        <v>24472</v>
      </c>
      <c r="B964" s="321" t="s">
        <v>1671</v>
      </c>
      <c r="C964" s="1098"/>
      <c r="D964" s="1162">
        <f>'[15]Input Sheet'!Q268</f>
        <v>-1.7516525000000001</v>
      </c>
      <c r="F964" s="1131">
        <v>-4.5503989000000002</v>
      </c>
    </row>
    <row r="965" spans="1:6" x14ac:dyDescent="0.2">
      <c r="A965" s="332">
        <v>24476</v>
      </c>
      <c r="B965" s="321" t="s">
        <v>1672</v>
      </c>
      <c r="C965" s="1098"/>
      <c r="D965" s="1162">
        <f>'[15]Input Sheet'!Q269</f>
        <v>0</v>
      </c>
      <c r="F965" s="1131">
        <v>0</v>
      </c>
    </row>
    <row r="966" spans="1:6" x14ac:dyDescent="0.2">
      <c r="A966" s="332">
        <v>24477</v>
      </c>
      <c r="B966" s="321" t="s">
        <v>1673</v>
      </c>
      <c r="C966" s="1098"/>
      <c r="D966" s="1162">
        <f>'[15]Input Sheet'!Q270</f>
        <v>0</v>
      </c>
      <c r="F966" s="1131">
        <v>0</v>
      </c>
    </row>
    <row r="967" spans="1:6" x14ac:dyDescent="0.2">
      <c r="A967" s="332">
        <v>24481</v>
      </c>
      <c r="B967" s="321" t="s">
        <v>1674</v>
      </c>
      <c r="C967" s="1098"/>
      <c r="D967" s="1162">
        <f>'[15]Input Sheet'!Q271</f>
        <v>1.0422452E-2</v>
      </c>
      <c r="F967" s="1131">
        <v>1.0611372000000001E-2</v>
      </c>
    </row>
    <row r="968" spans="1:6" x14ac:dyDescent="0.2">
      <c r="A968" s="332">
        <v>24482</v>
      </c>
      <c r="B968" s="321" t="s">
        <v>1675</v>
      </c>
      <c r="C968" s="1098"/>
      <c r="D968" s="1162">
        <f>'[15]Input Sheet'!Q272</f>
        <v>0.2322748</v>
      </c>
      <c r="F968" s="1131">
        <v>0</v>
      </c>
    </row>
    <row r="969" spans="1:6" x14ac:dyDescent="0.2">
      <c r="A969" s="332">
        <v>24486</v>
      </c>
      <c r="B969" s="321" t="s">
        <v>1676</v>
      </c>
      <c r="C969" s="1098"/>
      <c r="D969" s="1162">
        <f>'[15]Input Sheet'!Q273</f>
        <v>1.1362100000000001E-3</v>
      </c>
      <c r="F969" s="1131">
        <v>0.19931309</v>
      </c>
    </row>
    <row r="970" spans="1:6" x14ac:dyDescent="0.2">
      <c r="A970" s="332">
        <v>24487</v>
      </c>
      <c r="B970" s="321" t="s">
        <v>1677</v>
      </c>
      <c r="C970" s="1098"/>
      <c r="D970" s="1162">
        <f>'[15]Input Sheet'!Q274</f>
        <v>0</v>
      </c>
      <c r="F970" s="1131">
        <v>-1.7237999999999999E-3</v>
      </c>
    </row>
    <row r="971" spans="1:6" x14ac:dyDescent="0.2">
      <c r="A971" s="332">
        <v>24491</v>
      </c>
      <c r="B971" s="321" t="s">
        <v>1678</v>
      </c>
      <c r="C971" s="1098"/>
      <c r="D971" s="1162">
        <f>'[15]Input Sheet'!Q276</f>
        <v>0</v>
      </c>
      <c r="F971" s="1131">
        <v>0</v>
      </c>
    </row>
    <row r="972" spans="1:6" x14ac:dyDescent="0.2">
      <c r="A972" s="332">
        <v>24492</v>
      </c>
      <c r="B972" s="321" t="s">
        <v>1679</v>
      </c>
      <c r="C972" s="1098"/>
      <c r="D972" s="1162">
        <f>'[15]Input Sheet'!Q277</f>
        <v>0</v>
      </c>
      <c r="F972" s="1131">
        <v>0.76914000000000005</v>
      </c>
    </row>
    <row r="973" spans="1:6" x14ac:dyDescent="0.2">
      <c r="A973" s="332">
        <v>24493</v>
      </c>
      <c r="B973" s="321" t="str">
        <f>'[15]Input Sheet'!E278</f>
        <v>Main-BOI2C-0573-KDTPS</v>
      </c>
      <c r="C973" s="1098"/>
      <c r="D973" s="1162">
        <f>'[15]Input Sheet'!Q278</f>
        <v>1.0452893109999999</v>
      </c>
      <c r="F973" s="1131">
        <v>0.60957029200000001</v>
      </c>
    </row>
    <row r="974" spans="1:6" x14ac:dyDescent="0.2">
      <c r="A974" s="332">
        <v>24494</v>
      </c>
      <c r="B974" s="321" t="s">
        <v>1680</v>
      </c>
      <c r="C974" s="1098"/>
      <c r="D974" s="1098">
        <f>'[15]Input Sheet'!Q279</f>
        <v>-3.2212699999999997E-2</v>
      </c>
      <c r="F974" s="1131">
        <v>-0.850053426</v>
      </c>
    </row>
    <row r="975" spans="1:6" x14ac:dyDescent="0.2">
      <c r="A975" s="332">
        <v>24496</v>
      </c>
      <c r="B975" s="321" t="s">
        <v>1681</v>
      </c>
      <c r="C975" s="1098"/>
      <c r="D975" s="1162">
        <f>'[15]Input Sheet'!Q280</f>
        <v>0</v>
      </c>
      <c r="F975" s="1131">
        <v>0</v>
      </c>
    </row>
    <row r="976" spans="1:6" x14ac:dyDescent="0.2">
      <c r="A976" s="332">
        <v>24497</v>
      </c>
      <c r="B976" s="321" t="s">
        <v>1682</v>
      </c>
      <c r="C976" s="1098"/>
      <c r="D976" s="1162">
        <f>'[15]Input Sheet'!Q281</f>
        <v>0</v>
      </c>
      <c r="F976" s="1131">
        <v>0</v>
      </c>
    </row>
    <row r="977" spans="1:6" x14ac:dyDescent="0.2">
      <c r="A977" s="332">
        <v>24498</v>
      </c>
      <c r="B977" s="321" t="s">
        <v>1683</v>
      </c>
      <c r="C977" s="1098"/>
      <c r="D977" s="1162">
        <f>'[15]Input Sheet'!Q282</f>
        <v>0</v>
      </c>
      <c r="F977" s="1131">
        <v>0</v>
      </c>
    </row>
    <row r="978" spans="1:6" x14ac:dyDescent="0.2">
      <c r="A978" s="332">
        <v>24499</v>
      </c>
      <c r="B978" s="321" t="s">
        <v>1684</v>
      </c>
      <c r="C978" s="1098"/>
      <c r="D978" s="1162">
        <f>'[15]Input Sheet'!Q283</f>
        <v>0</v>
      </c>
      <c r="F978" s="1131">
        <v>0</v>
      </c>
    </row>
    <row r="979" spans="1:6" x14ac:dyDescent="0.2">
      <c r="A979" s="332">
        <v>24501</v>
      </c>
      <c r="B979" s="321" t="s">
        <v>1685</v>
      </c>
      <c r="C979" s="1098"/>
      <c r="D979" s="1162">
        <f>'[15]Input Sheet'!Q285</f>
        <v>0</v>
      </c>
      <c r="F979" s="1131">
        <v>4.1124639999999997E-3</v>
      </c>
    </row>
    <row r="980" spans="1:6" x14ac:dyDescent="0.2">
      <c r="A980" s="332">
        <v>24502</v>
      </c>
      <c r="B980" s="321" t="s">
        <v>1686</v>
      </c>
      <c r="C980" s="1098"/>
      <c r="D980" s="1162">
        <f>'[15]Input Sheet'!Q286</f>
        <v>0</v>
      </c>
      <c r="F980" s="1131">
        <v>0</v>
      </c>
    </row>
    <row r="981" spans="1:6" x14ac:dyDescent="0.2">
      <c r="A981" s="332">
        <v>24506</v>
      </c>
      <c r="B981" s="321" t="s">
        <v>1687</v>
      </c>
      <c r="C981" s="1098"/>
      <c r="D981" s="1162">
        <f>'[15]Input Sheet'!Q287</f>
        <v>0</v>
      </c>
      <c r="F981" s="1131">
        <v>0</v>
      </c>
    </row>
    <row r="982" spans="1:6" x14ac:dyDescent="0.2">
      <c r="A982" s="332">
        <v>24507</v>
      </c>
      <c r="B982" s="321" t="s">
        <v>1688</v>
      </c>
      <c r="C982" s="1098"/>
      <c r="D982" s="1162">
        <f>'[15]Input Sheet'!Q288</f>
        <v>0</v>
      </c>
      <c r="F982" s="1131">
        <v>0</v>
      </c>
    </row>
    <row r="983" spans="1:6" x14ac:dyDescent="0.2">
      <c r="A983" s="332">
        <v>24511</v>
      </c>
      <c r="B983" s="321" t="s">
        <v>1689</v>
      </c>
      <c r="C983" s="1098"/>
      <c r="D983" s="1162">
        <f>'[15]Input Sheet'!Q289</f>
        <v>0.31083291000000002</v>
      </c>
      <c r="F983" s="1131">
        <v>7.1559910000000004E-2</v>
      </c>
    </row>
    <row r="984" spans="1:6" x14ac:dyDescent="0.2">
      <c r="A984" s="332">
        <v>24512</v>
      </c>
      <c r="B984" s="321" t="s">
        <v>1690</v>
      </c>
      <c r="C984" s="1098"/>
      <c r="D984" s="1162">
        <f>'[15]Input Sheet'!Q290</f>
        <v>-7.5143399999999999E-2</v>
      </c>
      <c r="F984" s="1131">
        <v>4.9698805000000004</v>
      </c>
    </row>
    <row r="985" spans="1:6" x14ac:dyDescent="0.2">
      <c r="A985" s="332">
        <v>24516</v>
      </c>
      <c r="B985" s="321" t="s">
        <v>1691</v>
      </c>
      <c r="C985" s="1098"/>
      <c r="D985" s="1162">
        <f>'[15]Input Sheet'!Q291</f>
        <v>0</v>
      </c>
      <c r="F985" s="1131">
        <v>0</v>
      </c>
    </row>
    <row r="986" spans="1:6" x14ac:dyDescent="0.2">
      <c r="A986" s="332">
        <v>24517</v>
      </c>
      <c r="B986" s="321" t="s">
        <v>1692</v>
      </c>
      <c r="C986" s="1098"/>
      <c r="D986" s="1162">
        <f>'[15]Input Sheet'!Q292</f>
        <v>0</v>
      </c>
      <c r="F986" s="1131">
        <v>0</v>
      </c>
    </row>
    <row r="987" spans="1:6" x14ac:dyDescent="0.2">
      <c r="A987" s="332">
        <v>24518</v>
      </c>
      <c r="B987" s="321" t="s">
        <v>1693</v>
      </c>
      <c r="C987" s="1098"/>
      <c r="D987" s="1162">
        <f>'[15]Input Sheet'!Q293</f>
        <v>0</v>
      </c>
      <c r="F987" s="1131">
        <v>0</v>
      </c>
    </row>
    <row r="988" spans="1:6" x14ac:dyDescent="0.2">
      <c r="A988" s="332">
        <v>24519</v>
      </c>
      <c r="B988" s="321" t="s">
        <v>1694</v>
      </c>
      <c r="C988" s="1098"/>
      <c r="D988" s="1162">
        <f>'[15]Input Sheet'!Q294</f>
        <v>0</v>
      </c>
      <c r="F988" s="1131">
        <v>0</v>
      </c>
    </row>
    <row r="989" spans="1:6" x14ac:dyDescent="0.2">
      <c r="A989" s="332">
        <v>24521</v>
      </c>
      <c r="B989" s="321" t="s">
        <v>1695</v>
      </c>
      <c r="C989" s="1098"/>
      <c r="D989" s="1162">
        <f>'[15]Input Sheet'!Q296</f>
        <v>0</v>
      </c>
      <c r="F989" s="1131">
        <v>0</v>
      </c>
    </row>
    <row r="990" spans="1:6" x14ac:dyDescent="0.2">
      <c r="A990" s="332">
        <v>24522</v>
      </c>
      <c r="B990" s="321" t="s">
        <v>1696</v>
      </c>
      <c r="C990" s="1098"/>
      <c r="D990" s="1162">
        <f>'[15]Input Sheet'!Q297</f>
        <v>0</v>
      </c>
      <c r="F990" s="1131">
        <v>0</v>
      </c>
    </row>
    <row r="991" spans="1:6" x14ac:dyDescent="0.2">
      <c r="A991" s="332">
        <v>24523</v>
      </c>
      <c r="B991" s="321" t="s">
        <v>1697</v>
      </c>
      <c r="C991" s="1098"/>
      <c r="D991" s="1162">
        <f>'[15]Input Sheet'!Q298</f>
        <v>0.23303772000000003</v>
      </c>
      <c r="F991" s="1131">
        <v>0.36002129999999999</v>
      </c>
    </row>
    <row r="992" spans="1:6" x14ac:dyDescent="0.2">
      <c r="A992" s="332">
        <v>24524</v>
      </c>
      <c r="B992" s="321" t="s">
        <v>1698</v>
      </c>
      <c r="C992" s="1098"/>
      <c r="D992" s="1162">
        <f>'[15]Input Sheet'!Q299</f>
        <v>-0.14781820000000001</v>
      </c>
      <c r="F992" s="1131">
        <v>0</v>
      </c>
    </row>
    <row r="993" spans="1:6" x14ac:dyDescent="0.2">
      <c r="A993" s="332">
        <v>24531</v>
      </c>
      <c r="B993" s="321" t="s">
        <v>1699</v>
      </c>
      <c r="C993" s="1098"/>
      <c r="D993" s="1162">
        <f>'[15]Input Sheet'!Q300</f>
        <v>1.7892014000000001E-2</v>
      </c>
      <c r="F993" s="1131">
        <v>1.7892014000000001E-2</v>
      </c>
    </row>
    <row r="994" spans="1:6" x14ac:dyDescent="0.2">
      <c r="A994" s="332">
        <v>24532</v>
      </c>
      <c r="B994" s="321" t="s">
        <v>1700</v>
      </c>
      <c r="C994" s="1098"/>
      <c r="D994" s="1162">
        <f>'[15]Input Sheet'!Q301</f>
        <v>-1.7892114000000001E-2</v>
      </c>
      <c r="F994" s="1131">
        <v>-1.7892114000000001E-2</v>
      </c>
    </row>
    <row r="995" spans="1:6" x14ac:dyDescent="0.2">
      <c r="A995" s="332">
        <v>24536</v>
      </c>
      <c r="B995" s="321" t="s">
        <v>1701</v>
      </c>
      <c r="C995" s="1098"/>
      <c r="D995" s="1162">
        <f>'[15]Input Sheet'!Q302</f>
        <v>0</v>
      </c>
      <c r="F995" s="1131">
        <v>0</v>
      </c>
    </row>
    <row r="996" spans="1:6" x14ac:dyDescent="0.2">
      <c r="A996" s="332">
        <v>24537</v>
      </c>
      <c r="B996" s="321" t="s">
        <v>1702</v>
      </c>
      <c r="C996" s="1098"/>
      <c r="D996" s="1162">
        <f>'[15]Input Sheet'!Q303</f>
        <v>0</v>
      </c>
      <c r="F996" s="1131">
        <v>0</v>
      </c>
    </row>
    <row r="997" spans="1:6" x14ac:dyDescent="0.2">
      <c r="A997" s="332">
        <v>24541</v>
      </c>
      <c r="B997" s="321" t="s">
        <v>1703</v>
      </c>
      <c r="C997" s="1098"/>
      <c r="D997" s="1162">
        <f>'[15]Input Sheet'!Q304</f>
        <v>0</v>
      </c>
      <c r="F997" s="1131">
        <v>0</v>
      </c>
    </row>
    <row r="998" spans="1:6" x14ac:dyDescent="0.2">
      <c r="A998" s="332">
        <v>24542</v>
      </c>
      <c r="B998" s="321" t="s">
        <v>1704</v>
      </c>
      <c r="C998" s="1098"/>
      <c r="D998" s="1162">
        <f>'[15]Input Sheet'!Q305</f>
        <v>0</v>
      </c>
      <c r="F998" s="1131">
        <v>0</v>
      </c>
    </row>
    <row r="999" spans="1:6" x14ac:dyDescent="0.2">
      <c r="A999" s="332">
        <v>24546</v>
      </c>
      <c r="B999" s="321" t="s">
        <v>1705</v>
      </c>
      <c r="C999" s="1098"/>
      <c r="D999" s="1162">
        <f>'[15]Input Sheet'!Q306</f>
        <v>0</v>
      </c>
      <c r="F999" s="1131">
        <v>0</v>
      </c>
    </row>
    <row r="1000" spans="1:6" x14ac:dyDescent="0.2">
      <c r="A1000" s="332">
        <v>24547</v>
      </c>
      <c r="B1000" s="321" t="s">
        <v>1706</v>
      </c>
      <c r="C1000" s="1098"/>
      <c r="D1000" s="1162">
        <f>'[15]Input Sheet'!Q307</f>
        <v>0</v>
      </c>
      <c r="F1000" s="1131">
        <v>0</v>
      </c>
    </row>
    <row r="1001" spans="1:6" x14ac:dyDescent="0.2">
      <c r="A1001" s="332">
        <v>24551</v>
      </c>
      <c r="B1001" s="321" t="s">
        <v>1707</v>
      </c>
      <c r="C1001" s="1098"/>
      <c r="D1001" s="1162">
        <f>'[15]Input Sheet'!Q308</f>
        <v>0</v>
      </c>
      <c r="F1001" s="1131">
        <v>0</v>
      </c>
    </row>
    <row r="1002" spans="1:6" ht="12" customHeight="1" x14ac:dyDescent="0.2">
      <c r="A1002" s="332">
        <v>24552</v>
      </c>
      <c r="B1002" s="321" t="s">
        <v>1708</v>
      </c>
      <c r="C1002" s="1098"/>
      <c r="D1002" s="1162">
        <f>'[15]Input Sheet'!Q309</f>
        <v>0</v>
      </c>
      <c r="F1002" s="1131">
        <v>0</v>
      </c>
    </row>
    <row r="1003" spans="1:6" ht="12" customHeight="1" x14ac:dyDescent="0.2">
      <c r="A1003" s="332">
        <v>24561</v>
      </c>
      <c r="B1003" s="321" t="s">
        <v>1709</v>
      </c>
      <c r="C1003" s="1098"/>
      <c r="D1003" s="1162">
        <f>'[15]Input Sheet'!Q310</f>
        <v>0.66956018699999997</v>
      </c>
      <c r="F1003" s="1131">
        <v>0.160826416</v>
      </c>
    </row>
    <row r="1004" spans="1:6" ht="12" customHeight="1" x14ac:dyDescent="0.2">
      <c r="A1004" s="332">
        <v>24562</v>
      </c>
      <c r="B1004" s="321" t="s">
        <v>1710</v>
      </c>
      <c r="C1004" s="1098"/>
      <c r="D1004" s="1162">
        <f>'[15]Input Sheet'!Q311</f>
        <v>-7.7999999999999999E-4</v>
      </c>
      <c r="F1004" s="1131">
        <v>-3.3102899999999998E-2</v>
      </c>
    </row>
    <row r="1005" spans="1:6" ht="12" customHeight="1" x14ac:dyDescent="0.2">
      <c r="A1005" s="332">
        <v>24563</v>
      </c>
      <c r="B1005" s="321" t="s">
        <v>1711</v>
      </c>
      <c r="C1005" s="1098"/>
      <c r="D1005" s="1162">
        <f>'[15]Input Sheet'!Q312</f>
        <v>1.0340863060000001</v>
      </c>
      <c r="F1005" s="1131">
        <v>0.50655378899999992</v>
      </c>
    </row>
    <row r="1006" spans="1:6" ht="12" customHeight="1" x14ac:dyDescent="0.2">
      <c r="A1006" s="332">
        <v>24564</v>
      </c>
      <c r="B1006" s="321" t="s">
        <v>1712</v>
      </c>
      <c r="C1006" s="1098"/>
      <c r="D1006" s="1162">
        <f>'[15]Input Sheet'!Q313</f>
        <v>-0.9788734</v>
      </c>
      <c r="F1006" s="1131">
        <v>-0.48273280000000002</v>
      </c>
    </row>
    <row r="1007" spans="1:6" x14ac:dyDescent="0.2">
      <c r="A1007" s="332">
        <v>24601</v>
      </c>
      <c r="B1007" s="321" t="s">
        <v>1713</v>
      </c>
      <c r="C1007" s="1098"/>
      <c r="D1007" s="1162">
        <f>'[15]Input Sheet'!Q315</f>
        <v>7.7887700000000004E-2</v>
      </c>
      <c r="F1007" s="1131">
        <v>0</v>
      </c>
    </row>
    <row r="1008" spans="1:6" x14ac:dyDescent="0.2">
      <c r="A1008" s="332">
        <v>24602</v>
      </c>
      <c r="B1008" s="321" t="s">
        <v>1714</v>
      </c>
      <c r="C1008" s="1098"/>
      <c r="D1008" s="1162">
        <f>'[15]Input Sheet'!Q316</f>
        <v>-1.9598399999999998E-2</v>
      </c>
      <c r="F1008" s="1131">
        <v>0</v>
      </c>
    </row>
    <row r="1009" spans="1:6" x14ac:dyDescent="0.2">
      <c r="A1009" s="332">
        <v>24603</v>
      </c>
      <c r="B1009" s="321" t="s">
        <v>1715</v>
      </c>
      <c r="C1009" s="1098"/>
      <c r="D1009" s="1165">
        <f>'[15]Input Sheet'!Q317</f>
        <v>1.5000770000000001E-3</v>
      </c>
      <c r="F1009" s="1131">
        <v>1.9112000000000001E-3</v>
      </c>
    </row>
    <row r="1010" spans="1:6" x14ac:dyDescent="0.2">
      <c r="A1010" s="332">
        <v>24604</v>
      </c>
      <c r="B1010" s="321" t="s">
        <v>1716</v>
      </c>
      <c r="C1010" s="1098"/>
      <c r="D1010" s="1162">
        <f>'[15]Input Sheet'!Q318</f>
        <v>0</v>
      </c>
      <c r="F1010" s="1131">
        <v>6.6507231999999999E-2</v>
      </c>
    </row>
    <row r="1011" spans="1:6" x14ac:dyDescent="0.2">
      <c r="A1011" s="332">
        <v>24606</v>
      </c>
      <c r="B1011" s="321" t="s">
        <v>1717</v>
      </c>
      <c r="C1011" s="1098"/>
      <c r="D1011" s="1162">
        <f>'[15]Input Sheet'!Q319</f>
        <v>0</v>
      </c>
      <c r="F1011" s="1131">
        <v>0</v>
      </c>
    </row>
    <row r="1012" spans="1:6" x14ac:dyDescent="0.2">
      <c r="A1012" s="332">
        <v>24607</v>
      </c>
      <c r="B1012" s="321" t="s">
        <v>1718</v>
      </c>
      <c r="C1012" s="1098"/>
      <c r="D1012" s="1162">
        <f>'[15]Input Sheet'!Q320</f>
        <v>0</v>
      </c>
      <c r="F1012" s="1131">
        <v>0</v>
      </c>
    </row>
    <row r="1013" spans="1:6" x14ac:dyDescent="0.2">
      <c r="A1013" s="332">
        <v>24611</v>
      </c>
      <c r="B1013" s="321" t="s">
        <v>1719</v>
      </c>
      <c r="C1013" s="1098"/>
      <c r="D1013" s="1162">
        <f>'[15]Input Sheet'!Q322</f>
        <v>3.5299000000000002E-5</v>
      </c>
      <c r="F1013" s="1131">
        <v>7.4449418000000003E-2</v>
      </c>
    </row>
    <row r="1014" spans="1:6" x14ac:dyDescent="0.2">
      <c r="A1014" s="332">
        <v>24612</v>
      </c>
      <c r="B1014" s="321" t="s">
        <v>1720</v>
      </c>
      <c r="C1014" s="1098"/>
      <c r="D1014" s="1162">
        <f>'[15]Input Sheet'!Q323</f>
        <v>0</v>
      </c>
      <c r="F1014" s="1131">
        <v>-7.0666256000000011E-2</v>
      </c>
    </row>
    <row r="1015" spans="1:6" x14ac:dyDescent="0.2">
      <c r="A1015" s="332">
        <v>24616</v>
      </c>
      <c r="B1015" s="321" t="s">
        <v>1721</v>
      </c>
      <c r="C1015" s="1098"/>
      <c r="D1015" s="1162">
        <f>'[15]Input Sheet'!Q324</f>
        <v>4.6789999999999999E-4</v>
      </c>
      <c r="F1015" s="1131">
        <v>4.6789999999999999E-4</v>
      </c>
    </row>
    <row r="1016" spans="1:6" x14ac:dyDescent="0.2">
      <c r="A1016" s="332">
        <v>24617</v>
      </c>
      <c r="B1016" s="321" t="s">
        <v>1722</v>
      </c>
      <c r="C1016" s="1098"/>
      <c r="D1016" s="1162">
        <f>'[15]Input Sheet'!Q325</f>
        <v>-4.6789999999999999E-4</v>
      </c>
      <c r="F1016" s="1131">
        <v>-4.6789999999999999E-4</v>
      </c>
    </row>
    <row r="1017" spans="1:6" x14ac:dyDescent="0.2">
      <c r="A1017" s="332">
        <v>24621</v>
      </c>
      <c r="B1017" s="321" t="s">
        <v>1723</v>
      </c>
      <c r="C1017" s="1098"/>
      <c r="D1017" s="1162">
        <f>'[15]Input Sheet'!Q327</f>
        <v>8.6133199999999993E-2</v>
      </c>
      <c r="F1017" s="1131">
        <v>0.1836208</v>
      </c>
    </row>
    <row r="1018" spans="1:6" x14ac:dyDescent="0.2">
      <c r="A1018" s="332">
        <v>24622</v>
      </c>
      <c r="B1018" s="321" t="s">
        <v>1724</v>
      </c>
      <c r="C1018" s="1098"/>
      <c r="D1018" s="1162">
        <f>'[15]Input Sheet'!Q328</f>
        <v>-6.10191E-2</v>
      </c>
      <c r="F1018" s="1131">
        <v>-0.16961970000000001</v>
      </c>
    </row>
    <row r="1019" spans="1:6" x14ac:dyDescent="0.2">
      <c r="A1019" s="332">
        <v>24626</v>
      </c>
      <c r="B1019" s="321" t="s">
        <v>1725</v>
      </c>
      <c r="C1019" s="1098"/>
      <c r="D1019" s="1162">
        <f>'[15]Input Sheet'!Q329</f>
        <v>0</v>
      </c>
      <c r="F1019" s="1131">
        <v>0</v>
      </c>
    </row>
    <row r="1020" spans="1:6" x14ac:dyDescent="0.2">
      <c r="A1020" s="332">
        <v>24627</v>
      </c>
      <c r="B1020" s="321" t="s">
        <v>1726</v>
      </c>
      <c r="C1020" s="1098"/>
      <c r="D1020" s="1162">
        <f>'[15]Input Sheet'!Q330</f>
        <v>0</v>
      </c>
      <c r="F1020" s="1131">
        <v>0</v>
      </c>
    </row>
    <row r="1021" spans="1:6" x14ac:dyDescent="0.2">
      <c r="A1021" s="332">
        <v>24631</v>
      </c>
      <c r="B1021" s="321" t="s">
        <v>1727</v>
      </c>
      <c r="C1021" s="1098"/>
      <c r="D1021" s="1162">
        <f>'[15]Input Sheet'!Q332</f>
        <v>7.1269162999999996E-2</v>
      </c>
      <c r="F1021" s="1131">
        <v>9.5671582999999991E-2</v>
      </c>
    </row>
    <row r="1022" spans="1:6" x14ac:dyDescent="0.2">
      <c r="A1022" s="332">
        <v>24632</v>
      </c>
      <c r="B1022" s="321" t="s">
        <v>1728</v>
      </c>
      <c r="C1022" s="1098"/>
      <c r="D1022" s="1162">
        <f>'[15]Input Sheet'!Q333</f>
        <v>-4.6411999999999998E-3</v>
      </c>
      <c r="F1022" s="1131">
        <v>-4.9065320000000003E-2</v>
      </c>
    </row>
    <row r="1023" spans="1:6" x14ac:dyDescent="0.2">
      <c r="A1023" s="332">
        <v>24636</v>
      </c>
      <c r="B1023" s="321" t="s">
        <v>1729</v>
      </c>
      <c r="C1023" s="1098"/>
      <c r="D1023" s="1162">
        <f>'[15]Input Sheet'!Q334</f>
        <v>0</v>
      </c>
      <c r="F1023" s="1131">
        <v>0</v>
      </c>
    </row>
    <row r="1024" spans="1:6" x14ac:dyDescent="0.2">
      <c r="A1024" s="332">
        <v>24637</v>
      </c>
      <c r="B1024" s="321" t="s">
        <v>1730</v>
      </c>
      <c r="C1024" s="1098"/>
      <c r="D1024" s="1162">
        <f>'[15]Input Sheet'!Q335</f>
        <v>0</v>
      </c>
      <c r="F1024" s="1131">
        <v>0</v>
      </c>
    </row>
    <row r="1025" spans="1:6" x14ac:dyDescent="0.2">
      <c r="A1025" s="332">
        <v>24641</v>
      </c>
      <c r="B1025" s="321" t="s">
        <v>1731</v>
      </c>
      <c r="C1025" s="1098"/>
      <c r="D1025" s="1162">
        <f>'[15]Input Sheet'!Q337</f>
        <v>0.44014629500000002</v>
      </c>
      <c r="F1025" s="1131">
        <v>0.73790310199999998</v>
      </c>
    </row>
    <row r="1026" spans="1:6" x14ac:dyDescent="0.2">
      <c r="A1026" s="332">
        <v>24642</v>
      </c>
      <c r="B1026" s="321" t="s">
        <v>1732</v>
      </c>
      <c r="C1026" s="1098"/>
      <c r="D1026" s="1162">
        <f>'[15]Input Sheet'!Q338</f>
        <v>-0.35859746000000003</v>
      </c>
      <c r="F1026" s="1131">
        <v>-0.68974199999999997</v>
      </c>
    </row>
    <row r="1027" spans="1:6" x14ac:dyDescent="0.2">
      <c r="A1027" s="332">
        <v>24646</v>
      </c>
      <c r="B1027" s="321" t="s">
        <v>1733</v>
      </c>
      <c r="C1027" s="1098"/>
      <c r="D1027" s="1162">
        <f>'[15]Input Sheet'!Q339</f>
        <v>0</v>
      </c>
      <c r="F1027" s="1131">
        <v>0</v>
      </c>
    </row>
    <row r="1028" spans="1:6" x14ac:dyDescent="0.2">
      <c r="A1028" s="332">
        <v>24647</v>
      </c>
      <c r="B1028" s="321" t="s">
        <v>1734</v>
      </c>
      <c r="C1028" s="1098"/>
      <c r="D1028" s="1162">
        <f>'[15]Input Sheet'!Q340</f>
        <v>0</v>
      </c>
      <c r="F1028" s="1131">
        <v>0</v>
      </c>
    </row>
    <row r="1029" spans="1:6" x14ac:dyDescent="0.2">
      <c r="A1029" s="332">
        <v>24651</v>
      </c>
      <c r="B1029" s="321" t="s">
        <v>1735</v>
      </c>
      <c r="C1029" s="1098"/>
      <c r="D1029" s="1162">
        <f>'[15]Input Sheet'!Q341</f>
        <v>0</v>
      </c>
      <c r="F1029" s="1131">
        <v>0</v>
      </c>
    </row>
    <row r="1030" spans="1:6" x14ac:dyDescent="0.2">
      <c r="A1030" s="332">
        <v>24652</v>
      </c>
      <c r="B1030" s="321" t="s">
        <v>1736</v>
      </c>
      <c r="C1030" s="1098"/>
      <c r="D1030" s="1162">
        <f>'[15]Input Sheet'!Q342</f>
        <v>0</v>
      </c>
      <c r="F1030" s="1131">
        <v>0</v>
      </c>
    </row>
    <row r="1031" spans="1:6" x14ac:dyDescent="0.2">
      <c r="A1031" s="332">
        <v>24656</v>
      </c>
      <c r="B1031" s="321" t="s">
        <v>1737</v>
      </c>
      <c r="C1031" s="1098"/>
      <c r="D1031" s="1162">
        <f>'[15]Input Sheet'!Q343</f>
        <v>1.2017241999999999E-2</v>
      </c>
      <c r="F1031" s="1131">
        <v>1.144242E-3</v>
      </c>
    </row>
    <row r="1032" spans="1:6" x14ac:dyDescent="0.2">
      <c r="A1032" s="332">
        <v>24657</v>
      </c>
      <c r="B1032" s="321" t="s">
        <v>1738</v>
      </c>
      <c r="C1032" s="1098"/>
      <c r="D1032" s="1162">
        <f>'[15]Input Sheet'!Q344</f>
        <v>0</v>
      </c>
      <c r="F1032" s="1131">
        <v>0</v>
      </c>
    </row>
    <row r="1033" spans="1:6" x14ac:dyDescent="0.2">
      <c r="A1033" s="332">
        <v>24661</v>
      </c>
      <c r="B1033" s="321" t="s">
        <v>1739</v>
      </c>
      <c r="C1033" s="1098"/>
      <c r="D1033" s="1162">
        <f>'[15]Input Sheet'!Q346</f>
        <v>0.205465438</v>
      </c>
      <c r="F1033" s="1131">
        <v>0.205465438</v>
      </c>
    </row>
    <row r="1034" spans="1:6" x14ac:dyDescent="0.2">
      <c r="A1034" s="332">
        <v>24662</v>
      </c>
      <c r="B1034" s="321" t="s">
        <v>1740</v>
      </c>
      <c r="C1034" s="1098"/>
      <c r="D1034" s="1162">
        <f>'[15]Input Sheet'!Q347</f>
        <v>-0.20000332900000001</v>
      </c>
      <c r="F1034" s="1131">
        <v>8.243477099999999E-2</v>
      </c>
    </row>
    <row r="1035" spans="1:6" x14ac:dyDescent="0.2">
      <c r="A1035" s="332">
        <v>24663</v>
      </c>
      <c r="B1035" s="321" t="s">
        <v>1741</v>
      </c>
      <c r="C1035" s="1098"/>
      <c r="D1035" s="1162">
        <f>'[15]Input Sheet'!Q348</f>
        <v>0</v>
      </c>
      <c r="F1035" s="1131">
        <v>5.6332999999999999E-3</v>
      </c>
    </row>
    <row r="1036" spans="1:6" x14ac:dyDescent="0.2">
      <c r="A1036" s="332">
        <v>24664</v>
      </c>
      <c r="B1036" s="321" t="s">
        <v>1742</v>
      </c>
      <c r="C1036" s="1098"/>
      <c r="D1036" s="1162">
        <f>'[15]Input Sheet'!Q349</f>
        <v>0</v>
      </c>
      <c r="F1036" s="1131">
        <v>-5.6333400000000006E-3</v>
      </c>
    </row>
    <row r="1037" spans="1:6" x14ac:dyDescent="0.2">
      <c r="A1037" s="332">
        <v>24666</v>
      </c>
      <c r="B1037" s="321" t="s">
        <v>1743</v>
      </c>
      <c r="C1037" s="1098"/>
      <c r="D1037" s="1162">
        <f>'[15]Input Sheet'!Q350</f>
        <v>0</v>
      </c>
      <c r="F1037" s="1131">
        <v>0</v>
      </c>
    </row>
    <row r="1038" spans="1:6" x14ac:dyDescent="0.2">
      <c r="A1038" s="332">
        <v>24667</v>
      </c>
      <c r="B1038" s="321" t="s">
        <v>1744</v>
      </c>
      <c r="C1038" s="1098"/>
      <c r="D1038" s="1162">
        <f>'[15]Input Sheet'!Q351</f>
        <v>0</v>
      </c>
      <c r="F1038" s="1131">
        <v>0</v>
      </c>
    </row>
    <row r="1039" spans="1:6" x14ac:dyDescent="0.2">
      <c r="A1039" s="332">
        <v>24671</v>
      </c>
      <c r="B1039" s="321" t="s">
        <v>1745</v>
      </c>
      <c r="C1039" s="1098"/>
      <c r="D1039" s="1162">
        <f>'[15]Input Sheet'!Q353</f>
        <v>1.2987988000000001E-2</v>
      </c>
      <c r="F1039" s="1131">
        <v>0.27660915200000002</v>
      </c>
    </row>
    <row r="1040" spans="1:6" x14ac:dyDescent="0.2">
      <c r="A1040" s="332">
        <v>24672</v>
      </c>
      <c r="B1040" s="321" t="s">
        <v>1746</v>
      </c>
      <c r="C1040" s="1098"/>
      <c r="D1040" s="1162">
        <f>'[15]Input Sheet'!Q354</f>
        <v>-1E-3</v>
      </c>
      <c r="F1040" s="1131">
        <v>-0.14936679999999999</v>
      </c>
    </row>
    <row r="1041" spans="1:6" x14ac:dyDescent="0.2">
      <c r="A1041" s="332">
        <v>24676</v>
      </c>
      <c r="B1041" s="321" t="s">
        <v>1747</v>
      </c>
      <c r="C1041" s="1098"/>
      <c r="D1041" s="1162">
        <f>'[15]Input Sheet'!Q355</f>
        <v>0</v>
      </c>
      <c r="F1041" s="1131">
        <v>0</v>
      </c>
    </row>
    <row r="1042" spans="1:6" x14ac:dyDescent="0.2">
      <c r="A1042" s="332">
        <v>24677</v>
      </c>
      <c r="B1042" s="321" t="s">
        <v>1748</v>
      </c>
      <c r="C1042" s="1098"/>
      <c r="D1042" s="1162">
        <f>'[15]Input Sheet'!Q356</f>
        <v>0</v>
      </c>
      <c r="F1042" s="1131">
        <v>0</v>
      </c>
    </row>
    <row r="1043" spans="1:6" x14ac:dyDescent="0.2">
      <c r="A1043" s="332">
        <v>24681</v>
      </c>
      <c r="B1043" s="321" t="s">
        <v>1749</v>
      </c>
      <c r="C1043" s="1098"/>
      <c r="D1043" s="1162">
        <f>'[15]Input Sheet'!Q358</f>
        <v>3.9905068000000002E-2</v>
      </c>
      <c r="F1043" s="1131">
        <v>3.9905068000000002E-2</v>
      </c>
    </row>
    <row r="1044" spans="1:6" x14ac:dyDescent="0.2">
      <c r="A1044" s="332">
        <v>24682</v>
      </c>
      <c r="B1044" s="321" t="s">
        <v>1750</v>
      </c>
      <c r="C1044" s="1098"/>
      <c r="D1044" s="1162">
        <f>'[15]Input Sheet'!Q359</f>
        <v>-3.9905068000000002E-2</v>
      </c>
      <c r="F1044" s="1131">
        <v>-3.9905068000000002E-2</v>
      </c>
    </row>
    <row r="1045" spans="1:6" x14ac:dyDescent="0.2">
      <c r="A1045" s="332">
        <v>24684</v>
      </c>
      <c r="B1045" s="321" t="s">
        <v>1751</v>
      </c>
      <c r="C1045" s="1098"/>
      <c r="D1045" s="1162">
        <f>'[15]Input Sheet'!Q360</f>
        <v>1.8593865000000001E-2</v>
      </c>
      <c r="F1045" s="1131">
        <v>2.9195471999999997E-2</v>
      </c>
    </row>
    <row r="1046" spans="1:6" x14ac:dyDescent="0.2">
      <c r="A1046" s="332">
        <v>24686</v>
      </c>
      <c r="B1046" s="321" t="s">
        <v>1752</v>
      </c>
      <c r="C1046" s="1098"/>
      <c r="D1046" s="1162">
        <f>'[15]Input Sheet'!Q361</f>
        <v>0</v>
      </c>
      <c r="F1046" s="1131">
        <v>0</v>
      </c>
    </row>
    <row r="1047" spans="1:6" x14ac:dyDescent="0.2">
      <c r="A1047" s="332">
        <v>24687</v>
      </c>
      <c r="B1047" s="321" t="s">
        <v>1753</v>
      </c>
      <c r="C1047" s="1098"/>
      <c r="D1047" s="1162">
        <f>'[15]Input Sheet'!Q362</f>
        <v>0</v>
      </c>
      <c r="F1047" s="1131">
        <v>0</v>
      </c>
    </row>
    <row r="1048" spans="1:6" x14ac:dyDescent="0.2">
      <c r="A1048" s="332">
        <v>24691</v>
      </c>
      <c r="B1048" s="321" t="s">
        <v>1754</v>
      </c>
      <c r="C1048" s="1098"/>
      <c r="D1048" s="1162">
        <f>'[15]Input Sheet'!Q364</f>
        <v>0.26236679099999999</v>
      </c>
      <c r="F1048" s="1131">
        <v>0.26236679099999999</v>
      </c>
    </row>
    <row r="1049" spans="1:6" x14ac:dyDescent="0.2">
      <c r="A1049" s="332">
        <v>24692</v>
      </c>
      <c r="B1049" s="321" t="s">
        <v>1755</v>
      </c>
      <c r="C1049" s="1098"/>
      <c r="D1049" s="1162">
        <f>'[15]Input Sheet'!Q365</f>
        <v>-0.262366816</v>
      </c>
      <c r="F1049" s="1131">
        <v>-0.262366816</v>
      </c>
    </row>
    <row r="1050" spans="1:6" x14ac:dyDescent="0.2">
      <c r="A1050" s="1166">
        <v>24693</v>
      </c>
      <c r="B1050" s="1167" t="s">
        <v>1756</v>
      </c>
      <c r="C1050" s="1168"/>
      <c r="D1050" s="1169">
        <f>'[15]Input Sheet'!Q366</f>
        <v>7.9298000000000007E-3</v>
      </c>
      <c r="E1050" s="1170"/>
      <c r="F1050" s="1170"/>
    </row>
    <row r="1051" spans="1:6" x14ac:dyDescent="0.2">
      <c r="A1051" s="332">
        <v>24694</v>
      </c>
      <c r="B1051" s="321" t="s">
        <v>1757</v>
      </c>
      <c r="C1051" s="1098"/>
      <c r="D1051" s="1162">
        <f>'[15]Input Sheet'!Q367</f>
        <v>-2.4922E-3</v>
      </c>
      <c r="F1051" s="1131">
        <v>1.9187689000000001E-2</v>
      </c>
    </row>
    <row r="1052" spans="1:6" x14ac:dyDescent="0.2">
      <c r="A1052" s="332">
        <v>24696</v>
      </c>
      <c r="B1052" s="321" t="s">
        <v>1758</v>
      </c>
      <c r="C1052" s="1098"/>
      <c r="D1052" s="1162">
        <f>'[15]Input Sheet'!Q368</f>
        <v>0</v>
      </c>
      <c r="F1052" s="1131">
        <v>0</v>
      </c>
    </row>
    <row r="1053" spans="1:6" x14ac:dyDescent="0.2">
      <c r="A1053" s="332">
        <v>24697</v>
      </c>
      <c r="B1053" s="321" t="s">
        <v>1759</v>
      </c>
      <c r="C1053" s="1098"/>
      <c r="D1053" s="1162">
        <f>'[15]Input Sheet'!Q369</f>
        <v>0</v>
      </c>
      <c r="F1053" s="1131">
        <v>0</v>
      </c>
    </row>
    <row r="1054" spans="1:6" x14ac:dyDescent="0.2">
      <c r="A1054" s="332">
        <v>24701</v>
      </c>
      <c r="B1054" s="321" t="s">
        <v>1760</v>
      </c>
      <c r="C1054" s="1098"/>
      <c r="D1054" s="1162">
        <f>'[15]Input Sheet'!Q371</f>
        <v>0.36798845000000002</v>
      </c>
      <c r="F1054" s="1131">
        <v>0.36798845000000002</v>
      </c>
    </row>
    <row r="1055" spans="1:6" x14ac:dyDescent="0.2">
      <c r="A1055" s="332">
        <v>24702</v>
      </c>
      <c r="B1055" s="321" t="s">
        <v>1761</v>
      </c>
      <c r="C1055" s="1098"/>
      <c r="D1055" s="1162">
        <f>'[15]Input Sheet'!Q372</f>
        <v>-0.36673417699999999</v>
      </c>
      <c r="F1055" s="1131">
        <v>-0.36669877699999998</v>
      </c>
    </row>
    <row r="1056" spans="1:6" x14ac:dyDescent="0.2">
      <c r="A1056" s="332">
        <v>24706</v>
      </c>
      <c r="B1056" s="321" t="s">
        <v>1762</v>
      </c>
      <c r="C1056" s="1098"/>
      <c r="D1056" s="1162">
        <f>'[15]Input Sheet'!Q374</f>
        <v>0</v>
      </c>
      <c r="F1056" s="1131">
        <v>0</v>
      </c>
    </row>
    <row r="1057" spans="1:6" x14ac:dyDescent="0.2">
      <c r="A1057" s="332">
        <v>24704</v>
      </c>
      <c r="B1057" s="321" t="s">
        <v>1763</v>
      </c>
      <c r="C1057" s="1098"/>
      <c r="D1057" s="1162">
        <f>'[15]Input Sheet'!Q373</f>
        <v>2.3624624E-2</v>
      </c>
      <c r="F1057" s="1131">
        <v>1.5765979999999999E-2</v>
      </c>
    </row>
    <row r="1058" spans="1:6" x14ac:dyDescent="0.2">
      <c r="A1058" s="332">
        <v>24707</v>
      </c>
      <c r="B1058" s="321" t="s">
        <v>1764</v>
      </c>
      <c r="C1058" s="1098"/>
      <c r="D1058" s="1162">
        <f>'[15]Input Sheet'!Q375</f>
        <v>0</v>
      </c>
      <c r="F1058" s="1131">
        <v>0</v>
      </c>
    </row>
    <row r="1059" spans="1:6" x14ac:dyDescent="0.2">
      <c r="A1059" s="332">
        <v>24801</v>
      </c>
      <c r="B1059" s="321" t="s">
        <v>1765</v>
      </c>
      <c r="C1059" s="1098"/>
      <c r="D1059" s="1162">
        <f>'[15]Input Sheet'!Q377</f>
        <v>3.8449087999999999E-2</v>
      </c>
      <c r="F1059" s="1131">
        <v>0.20251782500000001</v>
      </c>
    </row>
    <row r="1060" spans="1:6" x14ac:dyDescent="0.2">
      <c r="A1060" s="332">
        <v>24802</v>
      </c>
      <c r="B1060" s="321" t="s">
        <v>1766</v>
      </c>
      <c r="C1060" s="1098"/>
      <c r="D1060" s="1162">
        <f>'[15]Input Sheet'!Q378</f>
        <v>-7.3876000000000002E-3</v>
      </c>
      <c r="F1060" s="1131">
        <v>-0.16513700000000001</v>
      </c>
    </row>
    <row r="1061" spans="1:6" x14ac:dyDescent="0.2">
      <c r="A1061" s="332">
        <v>24806</v>
      </c>
      <c r="B1061" s="321" t="s">
        <v>1767</v>
      </c>
      <c r="C1061" s="1098"/>
      <c r="D1061" s="1162">
        <f>'[15]Input Sheet'!Q379</f>
        <v>0</v>
      </c>
      <c r="F1061" s="1131">
        <v>0</v>
      </c>
    </row>
    <row r="1062" spans="1:6" x14ac:dyDescent="0.2">
      <c r="A1062" s="332">
        <v>24807</v>
      </c>
      <c r="B1062" s="321" t="s">
        <v>1768</v>
      </c>
      <c r="C1062" s="1098"/>
      <c r="D1062" s="1162">
        <f>'[15]Input Sheet'!Q380</f>
        <v>0</v>
      </c>
      <c r="F1062" s="1131">
        <v>0</v>
      </c>
    </row>
    <row r="1063" spans="1:6" x14ac:dyDescent="0.2">
      <c r="A1063" s="332">
        <v>24808</v>
      </c>
      <c r="B1063" s="321" t="s">
        <v>1769</v>
      </c>
      <c r="C1063" s="1098"/>
      <c r="D1063" s="1162">
        <f>'[15]Input Sheet'!Q381</f>
        <v>6.7677150000000005E-2</v>
      </c>
      <c r="F1063" s="1131">
        <v>1.3561000000000001E-3</v>
      </c>
    </row>
    <row r="1064" spans="1:6" x14ac:dyDescent="0.2">
      <c r="A1064" s="332">
        <v>24809</v>
      </c>
      <c r="B1064" s="321" t="s">
        <v>1770</v>
      </c>
      <c r="C1064" s="1098"/>
      <c r="D1064" s="1162">
        <f>'[15]Input Sheet'!Q382</f>
        <v>0</v>
      </c>
      <c r="F1064" s="1131">
        <v>1.2275950000000001E-2</v>
      </c>
    </row>
    <row r="1065" spans="1:6" x14ac:dyDescent="0.2">
      <c r="A1065" s="332">
        <v>24811</v>
      </c>
      <c r="B1065" s="321" t="s">
        <v>1771</v>
      </c>
      <c r="C1065" s="1098"/>
      <c r="D1065" s="1162">
        <f>'[15]Input Sheet'!Q384</f>
        <v>9.2089488999999997E-2</v>
      </c>
      <c r="F1065" s="1131">
        <v>4.3266160999999997E-2</v>
      </c>
    </row>
    <row r="1066" spans="1:6" x14ac:dyDescent="0.2">
      <c r="A1066" s="332">
        <v>24812</v>
      </c>
      <c r="B1066" s="321" t="s">
        <v>1772</v>
      </c>
      <c r="C1066" s="1098"/>
      <c r="D1066" s="1162">
        <f>'[15]Input Sheet'!Q385</f>
        <v>-2.2689028E-2</v>
      </c>
      <c r="F1066" s="1131">
        <v>-1.27324E-2</v>
      </c>
    </row>
    <row r="1067" spans="1:6" x14ac:dyDescent="0.2">
      <c r="A1067" s="332">
        <v>24816</v>
      </c>
      <c r="B1067" s="321" t="s">
        <v>1773</v>
      </c>
      <c r="C1067" s="1098"/>
      <c r="D1067" s="1162">
        <f>'[15]Input Sheet'!Q386</f>
        <v>0</v>
      </c>
      <c r="F1067" s="1131">
        <v>0</v>
      </c>
    </row>
    <row r="1068" spans="1:6" x14ac:dyDescent="0.2">
      <c r="A1068" s="332">
        <v>24817</v>
      </c>
      <c r="B1068" s="321" t="s">
        <v>1774</v>
      </c>
      <c r="C1068" s="1098"/>
      <c r="D1068" s="1162">
        <f>'[15]Input Sheet'!Q387</f>
        <v>0</v>
      </c>
      <c r="F1068" s="1131">
        <v>0</v>
      </c>
    </row>
    <row r="1069" spans="1:6" x14ac:dyDescent="0.2">
      <c r="A1069" s="332">
        <v>24818</v>
      </c>
      <c r="B1069" s="321" t="s">
        <v>1775</v>
      </c>
      <c r="C1069" s="1098"/>
      <c r="D1069" s="1162">
        <f>'[15]Input Sheet'!Q388</f>
        <v>1.1204724000000001E-2</v>
      </c>
      <c r="F1069" s="1131">
        <v>5.3198239999999999E-3</v>
      </c>
    </row>
    <row r="1070" spans="1:6" x14ac:dyDescent="0.2">
      <c r="A1070" s="332">
        <v>24819</v>
      </c>
      <c r="B1070" s="321" t="s">
        <v>1776</v>
      </c>
      <c r="C1070" s="1098"/>
      <c r="D1070" s="1162">
        <f>'[15]Input Sheet'!Q389</f>
        <v>0</v>
      </c>
      <c r="F1070" s="1131">
        <v>3.9058000000000002E-2</v>
      </c>
    </row>
    <row r="1071" spans="1:6" x14ac:dyDescent="0.2">
      <c r="A1071" s="332">
        <v>24821</v>
      </c>
      <c r="B1071" s="321" t="s">
        <v>1777</v>
      </c>
      <c r="C1071" s="1098"/>
      <c r="D1071" s="1162">
        <f>'[15]Input Sheet'!Q391</f>
        <v>0</v>
      </c>
      <c r="F1071" s="1131">
        <v>0</v>
      </c>
    </row>
    <row r="1072" spans="1:6" x14ac:dyDescent="0.2">
      <c r="A1072" s="332">
        <v>24822</v>
      </c>
      <c r="B1072" s="321" t="s">
        <v>1778</v>
      </c>
      <c r="C1072" s="1098"/>
      <c r="D1072" s="1162">
        <f>'[15]Input Sheet'!Q392</f>
        <v>0</v>
      </c>
      <c r="F1072" s="1131">
        <v>0</v>
      </c>
    </row>
    <row r="1073" spans="1:6" x14ac:dyDescent="0.2">
      <c r="A1073" s="332">
        <v>24826</v>
      </c>
      <c r="B1073" s="321" t="s">
        <v>1779</v>
      </c>
      <c r="C1073" s="1098"/>
      <c r="D1073" s="1162">
        <f>'[15]Input Sheet'!Q393</f>
        <v>0</v>
      </c>
      <c r="F1073" s="1131">
        <v>0</v>
      </c>
    </row>
    <row r="1074" spans="1:6" x14ac:dyDescent="0.2">
      <c r="A1074" s="332">
        <v>24827</v>
      </c>
      <c r="B1074" s="321" t="s">
        <v>1780</v>
      </c>
      <c r="C1074" s="1098"/>
      <c r="D1074" s="1162">
        <f>'[15]Input Sheet'!Q394</f>
        <v>0</v>
      </c>
      <c r="F1074" s="1131">
        <v>0</v>
      </c>
    </row>
    <row r="1075" spans="1:6" x14ac:dyDescent="0.2">
      <c r="A1075" s="332">
        <v>24828</v>
      </c>
      <c r="B1075" s="321" t="s">
        <v>1781</v>
      </c>
      <c r="C1075" s="1098"/>
      <c r="D1075" s="1162">
        <f>'[15]Input Sheet'!Q395</f>
        <v>0</v>
      </c>
      <c r="F1075" s="1131">
        <v>0</v>
      </c>
    </row>
    <row r="1076" spans="1:6" x14ac:dyDescent="0.2">
      <c r="A1076" s="332">
        <v>24829</v>
      </c>
      <c r="B1076" s="321" t="s">
        <v>1782</v>
      </c>
      <c r="C1076" s="1098"/>
      <c r="D1076" s="1162">
        <f>'[15]Input Sheet'!Q396</f>
        <v>0</v>
      </c>
      <c r="F1076" s="1131">
        <v>0</v>
      </c>
    </row>
    <row r="1077" spans="1:6" x14ac:dyDescent="0.2">
      <c r="A1077" s="332">
        <v>24831</v>
      </c>
      <c r="B1077" s="321" t="s">
        <v>1783</v>
      </c>
      <c r="C1077" s="1098"/>
      <c r="D1077" s="1162">
        <f>'[15]Input Sheet'!Q398</f>
        <v>0.14220459999999999</v>
      </c>
      <c r="F1077" s="1131">
        <v>3.90946E-2</v>
      </c>
    </row>
    <row r="1078" spans="1:6" x14ac:dyDescent="0.2">
      <c r="A1078" s="332">
        <v>24832</v>
      </c>
      <c r="B1078" s="321" t="s">
        <v>1784</v>
      </c>
      <c r="C1078" s="1098"/>
      <c r="D1078" s="1162">
        <f>'[15]Input Sheet'!Q399</f>
        <v>0</v>
      </c>
      <c r="F1078" s="1131">
        <v>0</v>
      </c>
    </row>
    <row r="1079" spans="1:6" x14ac:dyDescent="0.2">
      <c r="A1079" s="332">
        <v>24836</v>
      </c>
      <c r="B1079" s="321" t="s">
        <v>1785</v>
      </c>
      <c r="C1079" s="1098"/>
      <c r="D1079" s="1162">
        <f>'[15]Input Sheet'!Q400</f>
        <v>0</v>
      </c>
      <c r="F1079" s="1131">
        <v>0</v>
      </c>
    </row>
    <row r="1080" spans="1:6" x14ac:dyDescent="0.2">
      <c r="A1080" s="332">
        <v>24837</v>
      </c>
      <c r="B1080" s="321" t="s">
        <v>1786</v>
      </c>
      <c r="C1080" s="1098"/>
      <c r="D1080" s="1162">
        <f>'[15]Input Sheet'!Q401</f>
        <v>0</v>
      </c>
      <c r="F1080" s="1131">
        <v>0</v>
      </c>
    </row>
    <row r="1081" spans="1:6" x14ac:dyDescent="0.2">
      <c r="A1081" s="332">
        <v>24841</v>
      </c>
      <c r="B1081" s="321" t="s">
        <v>1787</v>
      </c>
      <c r="C1081" s="1098"/>
      <c r="D1081" s="1162">
        <f>'[15]Input Sheet'!Q403</f>
        <v>1.1719908999999999E-2</v>
      </c>
      <c r="F1081" s="1131">
        <v>4.1196589999999995E-3</v>
      </c>
    </row>
    <row r="1082" spans="1:6" x14ac:dyDescent="0.2">
      <c r="A1082" s="332">
        <v>24842</v>
      </c>
      <c r="B1082" s="321" t="s">
        <v>1788</v>
      </c>
      <c r="C1082" s="1098"/>
      <c r="D1082" s="1162">
        <f>'[15]Input Sheet'!Q404</f>
        <v>0</v>
      </c>
      <c r="F1082" s="1131">
        <v>2.7775500000000002E-3</v>
      </c>
    </row>
    <row r="1083" spans="1:6" x14ac:dyDescent="0.2">
      <c r="A1083" s="332">
        <v>24846</v>
      </c>
      <c r="B1083" s="321" t="s">
        <v>1789</v>
      </c>
      <c r="C1083" s="1098"/>
      <c r="D1083" s="1162">
        <f>'[15]Input Sheet'!Q405</f>
        <v>0</v>
      </c>
      <c r="F1083" s="1131">
        <v>0</v>
      </c>
    </row>
    <row r="1084" spans="1:6" x14ac:dyDescent="0.2">
      <c r="A1084" s="332">
        <v>24847</v>
      </c>
      <c r="B1084" s="321" t="s">
        <v>1790</v>
      </c>
      <c r="C1084" s="1098"/>
      <c r="D1084" s="1162">
        <f>'[15]Input Sheet'!Q406</f>
        <v>0</v>
      </c>
      <c r="F1084" s="1131">
        <v>0</v>
      </c>
    </row>
    <row r="1085" spans="1:6" x14ac:dyDescent="0.2">
      <c r="A1085" s="332">
        <v>24848</v>
      </c>
      <c r="B1085" s="321" t="s">
        <v>1791</v>
      </c>
      <c r="C1085" s="1098"/>
      <c r="D1085" s="1162">
        <f>'[15]Input Sheet'!Q407</f>
        <v>1.8813928000000001E-2</v>
      </c>
      <c r="F1085" s="1131">
        <v>1.860504E-3</v>
      </c>
    </row>
    <row r="1086" spans="1:6" x14ac:dyDescent="0.2">
      <c r="A1086" s="332">
        <v>24849</v>
      </c>
      <c r="B1086" s="321" t="s">
        <v>1792</v>
      </c>
      <c r="C1086" s="1098"/>
      <c r="D1086" s="1162">
        <f>'[15]Input Sheet'!Q408</f>
        <v>-1.15929E-2</v>
      </c>
      <c r="F1086" s="1131">
        <v>-3.5097600000000002E-4</v>
      </c>
    </row>
    <row r="1087" spans="1:6" x14ac:dyDescent="0.2">
      <c r="A1087" s="332">
        <v>24851</v>
      </c>
      <c r="B1087" s="321" t="s">
        <v>1793</v>
      </c>
      <c r="C1087" s="1098"/>
      <c r="D1087" s="1162">
        <f>'[15]Input Sheet'!Q409</f>
        <v>0</v>
      </c>
      <c r="F1087" s="1131">
        <v>0</v>
      </c>
    </row>
    <row r="1088" spans="1:6" x14ac:dyDescent="0.2">
      <c r="A1088" s="332">
        <v>24852</v>
      </c>
      <c r="B1088" s="321" t="s">
        <v>1794</v>
      </c>
      <c r="C1088" s="1098"/>
      <c r="D1088" s="1162">
        <f>'[15]Input Sheet'!Q410</f>
        <v>0</v>
      </c>
      <c r="F1088" s="1131">
        <v>0</v>
      </c>
    </row>
    <row r="1089" spans="1:6" x14ac:dyDescent="0.2">
      <c r="A1089" s="332">
        <v>24861</v>
      </c>
      <c r="B1089" s="321" t="s">
        <v>1795</v>
      </c>
      <c r="C1089" s="1098"/>
      <c r="D1089" s="1162">
        <f>'[15]Input Sheet'!Q412</f>
        <v>2.9795609000000004E-2</v>
      </c>
      <c r="F1089" s="1131">
        <v>7.9170459999999998E-2</v>
      </c>
    </row>
    <row r="1090" spans="1:6" x14ac:dyDescent="0.2">
      <c r="A1090" s="332">
        <v>24862</v>
      </c>
      <c r="B1090" s="321" t="s">
        <v>1796</v>
      </c>
      <c r="C1090" s="1098"/>
      <c r="D1090" s="1162">
        <f>'[15]Input Sheet'!Q413</f>
        <v>1.6041E-3</v>
      </c>
      <c r="F1090" s="1131">
        <v>0</v>
      </c>
    </row>
    <row r="1091" spans="1:6" x14ac:dyDescent="0.2">
      <c r="A1091" s="332">
        <v>24866</v>
      </c>
      <c r="B1091" s="321" t="s">
        <v>1797</v>
      </c>
      <c r="C1091" s="1098"/>
      <c r="D1091" s="1162">
        <f>'[15]Input Sheet'!Q414</f>
        <v>0</v>
      </c>
      <c r="F1091" s="1131">
        <v>0</v>
      </c>
    </row>
    <row r="1092" spans="1:6" x14ac:dyDescent="0.2">
      <c r="A1092" s="332">
        <v>24867</v>
      </c>
      <c r="B1092" s="321" t="s">
        <v>1798</v>
      </c>
      <c r="C1092" s="1098"/>
      <c r="D1092" s="1162">
        <f>'[15]Input Sheet'!Q415</f>
        <v>0</v>
      </c>
      <c r="F1092" s="1131">
        <v>0</v>
      </c>
    </row>
    <row r="1093" spans="1:6" x14ac:dyDescent="0.2">
      <c r="A1093" s="332">
        <v>24871</v>
      </c>
      <c r="B1093" s="321" t="s">
        <v>1799</v>
      </c>
      <c r="C1093" s="1098"/>
      <c r="D1093" s="1162">
        <f>'[15]Input Sheet'!Q417</f>
        <v>4.2986512999999997E-2</v>
      </c>
      <c r="F1093" s="1131">
        <v>1.2881513000000001E-2</v>
      </c>
    </row>
    <row r="1094" spans="1:6" x14ac:dyDescent="0.2">
      <c r="A1094" s="332">
        <v>24872</v>
      </c>
      <c r="B1094" s="321" t="s">
        <v>1800</v>
      </c>
      <c r="C1094" s="1098"/>
      <c r="D1094" s="1162">
        <f>'[15]Input Sheet'!Q418</f>
        <v>0</v>
      </c>
      <c r="F1094" s="1131">
        <v>-5.3121000000000002E-3</v>
      </c>
    </row>
    <row r="1095" spans="1:6" x14ac:dyDescent="0.2">
      <c r="A1095" s="332">
        <v>24876</v>
      </c>
      <c r="B1095" s="321" t="s">
        <v>1801</v>
      </c>
      <c r="C1095" s="1098"/>
      <c r="D1095" s="1162">
        <f>'[15]Input Sheet'!Q419</f>
        <v>3.4875319999999998E-3</v>
      </c>
      <c r="F1095" s="1131">
        <v>2.9173319999999999E-3</v>
      </c>
    </row>
    <row r="1096" spans="1:6" x14ac:dyDescent="0.2">
      <c r="A1096" s="332">
        <v>24877</v>
      </c>
      <c r="B1096" s="321" t="s">
        <v>1802</v>
      </c>
      <c r="C1096" s="1098"/>
      <c r="D1096" s="1162">
        <f>'[15]Input Sheet'!Q420</f>
        <v>0</v>
      </c>
      <c r="F1096" s="1131">
        <v>0</v>
      </c>
    </row>
    <row r="1097" spans="1:6" x14ac:dyDescent="0.2">
      <c r="A1097" s="332">
        <v>24878</v>
      </c>
      <c r="B1097" s="321" t="s">
        <v>1803</v>
      </c>
      <c r="C1097" s="1098"/>
      <c r="D1097" s="1162">
        <f>'[15]Input Sheet'!Q421</f>
        <v>0</v>
      </c>
      <c r="F1097" s="1131">
        <v>0</v>
      </c>
    </row>
    <row r="1098" spans="1:6" x14ac:dyDescent="0.2">
      <c r="A1098" s="332">
        <v>24879</v>
      </c>
      <c r="B1098" s="321" t="s">
        <v>1804</v>
      </c>
      <c r="C1098" s="1098"/>
      <c r="D1098" s="1162">
        <f>'[15]Input Sheet'!Q422</f>
        <v>0</v>
      </c>
      <c r="F1098" s="1131">
        <v>0</v>
      </c>
    </row>
    <row r="1099" spans="1:6" x14ac:dyDescent="0.2">
      <c r="A1099" s="332">
        <v>24901</v>
      </c>
      <c r="B1099" s="321" t="s">
        <v>1805</v>
      </c>
      <c r="C1099" s="1098"/>
      <c r="D1099" s="1162">
        <f>'[15]Input Sheet'!Q424</f>
        <v>3.7963355999999997E-2</v>
      </c>
      <c r="F1099" s="1131">
        <v>4.6531655999999998E-2</v>
      </c>
    </row>
    <row r="1100" spans="1:6" x14ac:dyDescent="0.2">
      <c r="A1100" s="332">
        <v>24902</v>
      </c>
      <c r="B1100" s="321" t="s">
        <v>1806</v>
      </c>
      <c r="C1100" s="1098"/>
      <c r="D1100" s="1162">
        <f>'[15]Input Sheet'!Q425</f>
        <v>0</v>
      </c>
      <c r="F1100" s="1131">
        <v>0</v>
      </c>
    </row>
    <row r="1101" spans="1:6" x14ac:dyDescent="0.2">
      <c r="A1101" s="332">
        <v>24906</v>
      </c>
      <c r="B1101" s="321" t="s">
        <v>1807</v>
      </c>
      <c r="C1101" s="1098"/>
      <c r="D1101" s="1162">
        <f>'[15]Input Sheet'!Q426</f>
        <v>0</v>
      </c>
      <c r="F1101" s="1131">
        <v>0</v>
      </c>
    </row>
    <row r="1102" spans="1:6" x14ac:dyDescent="0.2">
      <c r="A1102" s="332">
        <v>24907</v>
      </c>
      <c r="B1102" s="321" t="s">
        <v>1808</v>
      </c>
      <c r="C1102" s="1098"/>
      <c r="D1102" s="1162">
        <f>'[15]Input Sheet'!Q427</f>
        <v>0</v>
      </c>
      <c r="F1102" s="1131">
        <v>0</v>
      </c>
    </row>
    <row r="1103" spans="1:6" x14ac:dyDescent="0.2">
      <c r="A1103" s="332">
        <v>24908</v>
      </c>
      <c r="B1103" s="321" t="s">
        <v>1809</v>
      </c>
      <c r="C1103" s="1098"/>
      <c r="D1103" s="1162">
        <f>'[15]Input Sheet'!Q428</f>
        <v>1.030008E-3</v>
      </c>
      <c r="F1103" s="1131">
        <v>5.7970799999999996E-4</v>
      </c>
    </row>
    <row r="1104" spans="1:6" x14ac:dyDescent="0.2">
      <c r="A1104" s="332">
        <v>24909</v>
      </c>
      <c r="B1104" s="321" t="s">
        <v>1810</v>
      </c>
      <c r="C1104" s="1098"/>
      <c r="D1104" s="1162">
        <f>'[15]Input Sheet'!Q429</f>
        <v>0</v>
      </c>
      <c r="F1104" s="1131">
        <v>0</v>
      </c>
    </row>
    <row r="1105" spans="1:6" x14ac:dyDescent="0.2">
      <c r="A1105" s="332">
        <v>24911</v>
      </c>
      <c r="B1105" s="321" t="s">
        <v>1811</v>
      </c>
      <c r="C1105" s="1098"/>
      <c r="D1105" s="1162">
        <f>'[15]Input Sheet'!Q431</f>
        <v>0.15990193999999999</v>
      </c>
      <c r="F1105" s="1131">
        <v>2.6565540000000002E-2</v>
      </c>
    </row>
    <row r="1106" spans="1:6" x14ac:dyDescent="0.2">
      <c r="A1106" s="332">
        <v>24912</v>
      </c>
      <c r="B1106" s="321" t="s">
        <v>1812</v>
      </c>
      <c r="C1106" s="1098"/>
      <c r="D1106" s="1162">
        <f>'[15]Input Sheet'!Q432</f>
        <v>0</v>
      </c>
      <c r="F1106" s="1131">
        <v>-4.6939E-3</v>
      </c>
    </row>
    <row r="1107" spans="1:6" x14ac:dyDescent="0.2">
      <c r="A1107" s="332">
        <v>24913</v>
      </c>
      <c r="B1107" s="321" t="s">
        <v>1813</v>
      </c>
      <c r="C1107" s="1098"/>
      <c r="D1107" s="1162">
        <f>'[15]Input Sheet'!Q433</f>
        <v>9.6584999999999998E-4</v>
      </c>
      <c r="F1107" s="1131">
        <v>1.03075E-3</v>
      </c>
    </row>
    <row r="1108" spans="1:6" x14ac:dyDescent="0.2">
      <c r="A1108" s="332">
        <v>24914</v>
      </c>
      <c r="B1108" s="321" t="s">
        <v>1814</v>
      </c>
      <c r="C1108" s="1098"/>
      <c r="D1108" s="1162">
        <f>'[15]Input Sheet'!Q434</f>
        <v>0</v>
      </c>
      <c r="F1108" s="1131">
        <v>0</v>
      </c>
    </row>
    <row r="1109" spans="1:6" x14ac:dyDescent="0.2">
      <c r="A1109" s="332">
        <v>24916</v>
      </c>
      <c r="B1109" s="321" t="s">
        <v>1815</v>
      </c>
      <c r="C1109" s="1098"/>
      <c r="D1109" s="1162">
        <f>'[15]Input Sheet'!Q435</f>
        <v>0</v>
      </c>
      <c r="F1109" s="1131">
        <v>0</v>
      </c>
    </row>
    <row r="1110" spans="1:6" x14ac:dyDescent="0.2">
      <c r="A1110" s="332">
        <v>24917</v>
      </c>
      <c r="B1110" s="321" t="s">
        <v>1816</v>
      </c>
      <c r="C1110" s="1098"/>
      <c r="D1110" s="1162">
        <f>'[15]Input Sheet'!Q436</f>
        <v>0</v>
      </c>
      <c r="F1110" s="1131">
        <v>0</v>
      </c>
    </row>
    <row r="1111" spans="1:6" x14ac:dyDescent="0.2">
      <c r="A1111" s="332">
        <v>24918</v>
      </c>
      <c r="B1111" s="321" t="s">
        <v>1817</v>
      </c>
      <c r="C1111" s="1098"/>
      <c r="D1111" s="1162">
        <f>'[15]Input Sheet'!Q437</f>
        <v>1.492887E-3</v>
      </c>
      <c r="F1111" s="1131">
        <v>8.8788700000000007E-4</v>
      </c>
    </row>
    <row r="1112" spans="1:6" x14ac:dyDescent="0.2">
      <c r="A1112" s="332">
        <v>24919</v>
      </c>
      <c r="B1112" s="321" t="s">
        <v>1818</v>
      </c>
      <c r="C1112" s="1098"/>
      <c r="D1112" s="1162">
        <f>'[15]Input Sheet'!Q438</f>
        <v>0</v>
      </c>
      <c r="F1112" s="1131">
        <v>0</v>
      </c>
    </row>
    <row r="1113" spans="1:6" x14ac:dyDescent="0.2">
      <c r="A1113" s="332">
        <v>24921</v>
      </c>
      <c r="B1113" s="321" t="s">
        <v>1819</v>
      </c>
      <c r="C1113" s="1098"/>
      <c r="D1113" s="1162">
        <f>'[15]Input Sheet'!Q440</f>
        <v>8.7385899999999992E-3</v>
      </c>
      <c r="F1113" s="1131">
        <v>8.7385899999999992E-3</v>
      </c>
    </row>
    <row r="1114" spans="1:6" x14ac:dyDescent="0.2">
      <c r="A1114" s="332">
        <v>24922</v>
      </c>
      <c r="B1114" s="321" t="s">
        <v>1820</v>
      </c>
      <c r="C1114" s="1098"/>
      <c r="D1114" s="1162">
        <f>'[15]Input Sheet'!Q441</f>
        <v>-8.7385899999999992E-3</v>
      </c>
      <c r="F1114" s="1131">
        <v>-8.7385899999999992E-3</v>
      </c>
    </row>
    <row r="1115" spans="1:6" x14ac:dyDescent="0.2">
      <c r="A1115" s="332">
        <v>24926</v>
      </c>
      <c r="B1115" s="321" t="s">
        <v>1821</v>
      </c>
      <c r="C1115" s="1098"/>
      <c r="D1115" s="1162">
        <f>'[15]Input Sheet'!Q442</f>
        <v>0</v>
      </c>
      <c r="F1115" s="1131">
        <v>0</v>
      </c>
    </row>
    <row r="1116" spans="1:6" x14ac:dyDescent="0.2">
      <c r="A1116" s="332">
        <v>24927</v>
      </c>
      <c r="B1116" s="321" t="s">
        <v>1822</v>
      </c>
      <c r="C1116" s="1098"/>
      <c r="D1116" s="1162">
        <f>'[15]Input Sheet'!Q443</f>
        <v>0</v>
      </c>
      <c r="F1116" s="1131">
        <v>0</v>
      </c>
    </row>
    <row r="1117" spans="1:6" x14ac:dyDescent="0.2">
      <c r="A1117" s="332">
        <v>24928</v>
      </c>
      <c r="B1117" s="321" t="s">
        <v>1823</v>
      </c>
      <c r="C1117" s="1098"/>
      <c r="D1117" s="1162">
        <f>'[15]Input Sheet'!Q444</f>
        <v>0</v>
      </c>
      <c r="F1117" s="1131">
        <v>0</v>
      </c>
    </row>
    <row r="1118" spans="1:6" x14ac:dyDescent="0.2">
      <c r="A1118" s="332">
        <v>24929</v>
      </c>
      <c r="B1118" s="321" t="s">
        <v>1824</v>
      </c>
      <c r="C1118" s="1098"/>
      <c r="D1118" s="1162">
        <f>'[15]Input Sheet'!Q445</f>
        <v>0</v>
      </c>
      <c r="F1118" s="1131">
        <v>0</v>
      </c>
    </row>
    <row r="1119" spans="1:6" x14ac:dyDescent="0.2">
      <c r="A1119" s="332">
        <v>24931</v>
      </c>
      <c r="B1119" s="321" t="s">
        <v>1825</v>
      </c>
      <c r="C1119" s="1098"/>
      <c r="D1119" s="1162">
        <f>'[15]Input Sheet'!Q447</f>
        <v>6.2560088E-2</v>
      </c>
      <c r="F1119" s="1131">
        <v>1.8498588E-2</v>
      </c>
    </row>
    <row r="1120" spans="1:6" x14ac:dyDescent="0.2">
      <c r="A1120" s="332">
        <v>24932</v>
      </c>
      <c r="B1120" s="321" t="s">
        <v>1826</v>
      </c>
      <c r="C1120" s="1098"/>
      <c r="D1120" s="1162">
        <f>'[15]Input Sheet'!Q448</f>
        <v>-5.0077000000000003E-3</v>
      </c>
      <c r="F1120" s="1131">
        <v>-4.4875000000000002E-3</v>
      </c>
    </row>
    <row r="1121" spans="1:6" x14ac:dyDescent="0.2">
      <c r="A1121" s="332">
        <v>24936</v>
      </c>
      <c r="B1121" s="321" t="s">
        <v>1827</v>
      </c>
      <c r="C1121" s="1098"/>
      <c r="D1121" s="1162">
        <f>'[15]Input Sheet'!Q449</f>
        <v>0</v>
      </c>
      <c r="F1121" s="1131">
        <v>0</v>
      </c>
    </row>
    <row r="1122" spans="1:6" x14ac:dyDescent="0.2">
      <c r="A1122" s="332">
        <v>24937</v>
      </c>
      <c r="B1122" s="321" t="s">
        <v>1828</v>
      </c>
      <c r="C1122" s="1098"/>
      <c r="D1122" s="1162">
        <f>'[15]Input Sheet'!Q450</f>
        <v>0</v>
      </c>
      <c r="F1122" s="1131">
        <v>0</v>
      </c>
    </row>
    <row r="1123" spans="1:6" x14ac:dyDescent="0.2">
      <c r="A1123" s="332">
        <v>24938</v>
      </c>
      <c r="B1123" s="321" t="s">
        <v>1829</v>
      </c>
      <c r="C1123" s="1098"/>
      <c r="D1123" s="1162">
        <f>'[15]Input Sheet'!Q451</f>
        <v>0</v>
      </c>
      <c r="F1123" s="1131">
        <v>0</v>
      </c>
    </row>
    <row r="1124" spans="1:6" x14ac:dyDescent="0.2">
      <c r="A1124" s="332">
        <v>24939</v>
      </c>
      <c r="B1124" s="321" t="s">
        <v>1830</v>
      </c>
      <c r="C1124" s="1098"/>
      <c r="D1124" s="1162">
        <f>'[15]Input Sheet'!Q452</f>
        <v>1.4149E-3</v>
      </c>
      <c r="F1124" s="1131">
        <v>1.0989000000000001E-3</v>
      </c>
    </row>
    <row r="1125" spans="1:6" x14ac:dyDescent="0.2">
      <c r="A1125" s="332">
        <v>24941</v>
      </c>
      <c r="B1125" s="321" t="s">
        <v>1831</v>
      </c>
      <c r="C1125" s="1098"/>
      <c r="D1125" s="1162">
        <f>'[15]Input Sheet'!Q454</f>
        <v>1.3186694000000001E-2</v>
      </c>
      <c r="F1125" s="1131">
        <v>4.8678940000000002E-3</v>
      </c>
    </row>
    <row r="1126" spans="1:6" x14ac:dyDescent="0.2">
      <c r="A1126" s="332">
        <v>24942</v>
      </c>
      <c r="B1126" s="321" t="s">
        <v>1832</v>
      </c>
      <c r="C1126" s="1098"/>
      <c r="D1126" s="1162">
        <f>'[15]Input Sheet'!Q455</f>
        <v>0</v>
      </c>
      <c r="F1126" s="1131">
        <v>0</v>
      </c>
    </row>
    <row r="1127" spans="1:6" x14ac:dyDescent="0.2">
      <c r="A1127" s="332">
        <v>24946</v>
      </c>
      <c r="B1127" s="321" t="s">
        <v>1833</v>
      </c>
      <c r="C1127" s="1098"/>
      <c r="D1127" s="1162">
        <f>'[15]Input Sheet'!Q456</f>
        <v>0</v>
      </c>
      <c r="F1127" s="1131">
        <v>0</v>
      </c>
    </row>
    <row r="1128" spans="1:6" x14ac:dyDescent="0.2">
      <c r="A1128" s="332">
        <v>24947</v>
      </c>
      <c r="B1128" s="321" t="s">
        <v>1834</v>
      </c>
      <c r="C1128" s="1098"/>
      <c r="D1128" s="1162">
        <f>'[15]Input Sheet'!Q457</f>
        <v>0</v>
      </c>
      <c r="F1128" s="1131">
        <v>0</v>
      </c>
    </row>
    <row r="1129" spans="1:6" x14ac:dyDescent="0.2">
      <c r="A1129" s="332">
        <v>24948</v>
      </c>
      <c r="B1129" s="321" t="s">
        <v>1835</v>
      </c>
      <c r="C1129" s="1098"/>
      <c r="D1129" s="1162">
        <f>'[15]Input Sheet'!Q458</f>
        <v>1.15335E-3</v>
      </c>
      <c r="F1129" s="1131">
        <v>1.15335E-3</v>
      </c>
    </row>
    <row r="1130" spans="1:6" x14ac:dyDescent="0.2">
      <c r="A1130" s="332">
        <v>24949</v>
      </c>
      <c r="B1130" s="321" t="s">
        <v>1836</v>
      </c>
      <c r="C1130" s="1098"/>
      <c r="D1130" s="1162">
        <f>'[15]Input Sheet'!Q459</f>
        <v>0</v>
      </c>
      <c r="F1130" s="1131">
        <v>0</v>
      </c>
    </row>
    <row r="1131" spans="1:6" x14ac:dyDescent="0.2">
      <c r="A1131" s="332">
        <v>24951</v>
      </c>
      <c r="B1131" s="321" t="s">
        <v>1837</v>
      </c>
      <c r="C1131" s="1098"/>
      <c r="D1131" s="1162">
        <f>'[15]Input Sheet'!Q461</f>
        <v>0.61610948499999996</v>
      </c>
      <c r="F1131" s="1131">
        <v>4.09548E-2</v>
      </c>
    </row>
    <row r="1132" spans="1:6" x14ac:dyDescent="0.2">
      <c r="A1132" s="332">
        <v>24952</v>
      </c>
      <c r="B1132" s="321" t="s">
        <v>1838</v>
      </c>
      <c r="C1132" s="1098"/>
      <c r="D1132" s="1162">
        <f>'[15]Input Sheet'!Q462</f>
        <v>-2.4304000000000001E-3</v>
      </c>
      <c r="F1132" s="1131">
        <v>-4.1145050000000001E-3</v>
      </c>
    </row>
    <row r="1133" spans="1:6" x14ac:dyDescent="0.2">
      <c r="A1133" s="332">
        <v>24956</v>
      </c>
      <c r="B1133" s="321" t="s">
        <v>1839</v>
      </c>
      <c r="C1133" s="1098"/>
      <c r="D1133" s="1162">
        <f>'[15]Input Sheet'!Q463</f>
        <v>0</v>
      </c>
      <c r="F1133" s="1131">
        <v>0</v>
      </c>
    </row>
    <row r="1134" spans="1:6" x14ac:dyDescent="0.2">
      <c r="A1134" s="332">
        <v>24957</v>
      </c>
      <c r="B1134" s="321" t="s">
        <v>1840</v>
      </c>
      <c r="C1134" s="1098"/>
      <c r="D1134" s="1162">
        <f>'[15]Input Sheet'!Q464</f>
        <v>0</v>
      </c>
      <c r="F1134" s="1131">
        <v>0</v>
      </c>
    </row>
    <row r="1135" spans="1:6" x14ac:dyDescent="0.2">
      <c r="A1135" s="332">
        <v>24961</v>
      </c>
      <c r="B1135" s="321" t="s">
        <v>1841</v>
      </c>
      <c r="C1135" s="1098"/>
      <c r="D1135" s="1162">
        <f>'[15]Input Sheet'!Q466</f>
        <v>3.0927404999999998E-2</v>
      </c>
      <c r="F1135" s="1131">
        <v>0.120122195</v>
      </c>
    </row>
    <row r="1136" spans="1:6" x14ac:dyDescent="0.2">
      <c r="A1136" s="332">
        <v>24962</v>
      </c>
      <c r="B1136" s="321" t="s">
        <v>1842</v>
      </c>
      <c r="C1136" s="1098"/>
      <c r="D1136" s="1162">
        <f>'[15]Input Sheet'!Q467</f>
        <v>-1.225E-4</v>
      </c>
      <c r="F1136" s="1131">
        <v>-1.7271999999999999E-3</v>
      </c>
    </row>
    <row r="1137" spans="1:7" x14ac:dyDescent="0.2">
      <c r="A1137" s="332">
        <v>24971</v>
      </c>
      <c r="B1137" s="321" t="s">
        <v>1843</v>
      </c>
      <c r="C1137" s="1098"/>
      <c r="D1137" s="1162">
        <f>'[15]Input Sheet'!Q468</f>
        <v>5.8097800000000001E-4</v>
      </c>
      <c r="F1137" s="1131">
        <v>6.8717799999999999E-4</v>
      </c>
    </row>
    <row r="1138" spans="1:7" x14ac:dyDescent="0.2">
      <c r="A1138" s="332">
        <v>24972</v>
      </c>
      <c r="B1138" s="321" t="s">
        <v>1844</v>
      </c>
      <c r="C1138" s="1098"/>
      <c r="D1138" s="1162">
        <f>'[15]Input Sheet'!Q469</f>
        <v>0</v>
      </c>
      <c r="F1138" s="1131">
        <v>0</v>
      </c>
    </row>
    <row r="1139" spans="1:7" x14ac:dyDescent="0.2">
      <c r="A1139" s="332">
        <v>24981</v>
      </c>
      <c r="B1139" s="321" t="s">
        <v>1845</v>
      </c>
      <c r="C1139" s="1098"/>
      <c r="D1139" s="1162">
        <f>'[15]Input Sheet'!Q470</f>
        <v>9.3382650000000001E-3</v>
      </c>
      <c r="F1139" s="1131">
        <v>8.207265E-3</v>
      </c>
    </row>
    <row r="1140" spans="1:7" x14ac:dyDescent="0.2">
      <c r="A1140" s="332">
        <v>24982</v>
      </c>
      <c r="B1140" s="321" t="s">
        <v>1846</v>
      </c>
      <c r="C1140" s="1098"/>
      <c r="D1140" s="1162">
        <f>'[15]Input Sheet'!Q471</f>
        <v>-8.3774000000000001E-3</v>
      </c>
      <c r="F1140" s="1131">
        <v>0</v>
      </c>
    </row>
    <row r="1141" spans="1:7" x14ac:dyDescent="0.2">
      <c r="A1141" s="332">
        <v>24984</v>
      </c>
      <c r="B1141" s="321" t="s">
        <v>1847</v>
      </c>
      <c r="C1141" s="1098"/>
      <c r="D1141" s="1162">
        <f>'[15]Input Sheet'!Q472</f>
        <v>1.526765E-3</v>
      </c>
      <c r="F1141" s="1131">
        <v>1.526765E-3</v>
      </c>
    </row>
    <row r="1142" spans="1:7" x14ac:dyDescent="0.2">
      <c r="B1142" s="321" t="s">
        <v>242</v>
      </c>
      <c r="C1142" s="1098"/>
      <c r="D1142" s="1098">
        <f>SUM(D846:D1141)</f>
        <v>263.66342570199998</v>
      </c>
      <c r="F1142" s="1098">
        <f>SUM(F846:F1141)</f>
        <v>11.769918049000003</v>
      </c>
    </row>
    <row r="1143" spans="1:7" x14ac:dyDescent="0.2">
      <c r="C1143" s="1098"/>
      <c r="D1143" s="1098"/>
    </row>
    <row r="1144" spans="1:7" x14ac:dyDescent="0.2">
      <c r="C1144" s="1098"/>
      <c r="D1144" s="1098"/>
    </row>
    <row r="1145" spans="1:7" x14ac:dyDescent="0.2">
      <c r="C1145" s="1098"/>
      <c r="D1145" s="1704" t="str">
        <f>C3</f>
        <v>31.03.2023</v>
      </c>
      <c r="E1145" s="1704"/>
      <c r="F1145" s="1704" t="str">
        <f>E3</f>
        <v>31.03.2022</v>
      </c>
      <c r="G1145" s="1704"/>
    </row>
    <row r="1146" spans="1:7" x14ac:dyDescent="0.2">
      <c r="B1146" s="430" t="s">
        <v>897</v>
      </c>
      <c r="C1146" s="1134"/>
      <c r="D1146" s="1171" t="s">
        <v>1848</v>
      </c>
      <c r="E1146" s="1171" t="s">
        <v>1849</v>
      </c>
      <c r="F1146" s="1171" t="s">
        <v>1848</v>
      </c>
      <c r="G1146" s="1171" t="s">
        <v>1849</v>
      </c>
    </row>
    <row r="1147" spans="1:7" x14ac:dyDescent="0.2">
      <c r="A1147" s="332">
        <v>53001</v>
      </c>
      <c r="B1147" s="321" t="s">
        <v>1850</v>
      </c>
      <c r="C1147" s="1098"/>
      <c r="D1147" s="1098">
        <f>'[15]Input Sheet'!Q756</f>
        <v>0</v>
      </c>
      <c r="E1147" s="1098">
        <f>'[15]Input Sheet'!R756</f>
        <v>0</v>
      </c>
      <c r="F1147" s="1131">
        <v>0</v>
      </c>
      <c r="G1147" s="333">
        <v>0</v>
      </c>
    </row>
    <row r="1148" spans="1:7" x14ac:dyDescent="0.2">
      <c r="A1148" s="332">
        <v>53002</v>
      </c>
      <c r="B1148" s="321" t="s">
        <v>1851</v>
      </c>
      <c r="C1148" s="1098"/>
      <c r="D1148" s="1098">
        <f>'[15]Input Sheet'!Q757</f>
        <v>0</v>
      </c>
      <c r="E1148" s="1098">
        <f>'[15]Input Sheet'!R757</f>
        <v>0</v>
      </c>
      <c r="F1148" s="1131">
        <v>0</v>
      </c>
      <c r="G1148" s="333">
        <v>0</v>
      </c>
    </row>
    <row r="1149" spans="1:7" x14ac:dyDescent="0.2">
      <c r="A1149" s="332">
        <v>53003</v>
      </c>
      <c r="B1149" s="321" t="s">
        <v>1852</v>
      </c>
      <c r="C1149" s="1098"/>
      <c r="D1149" s="1098">
        <f>'[15]Input Sheet'!Q758</f>
        <v>0</v>
      </c>
      <c r="E1149" s="1098">
        <f>'[15]Input Sheet'!R758</f>
        <v>0</v>
      </c>
      <c r="F1149" s="1131">
        <v>0</v>
      </c>
      <c r="G1149" s="333">
        <v>0</v>
      </c>
    </row>
    <row r="1150" spans="1:7" x14ac:dyDescent="0.2">
      <c r="A1150" s="332">
        <v>53004</v>
      </c>
      <c r="B1150" s="321" t="s">
        <v>1853</v>
      </c>
      <c r="C1150" s="1098"/>
      <c r="D1150" s="1098">
        <f>'[15]Input Sheet'!Q759</f>
        <v>0</v>
      </c>
      <c r="E1150" s="1098">
        <f>'[15]Input Sheet'!R759</f>
        <v>251.89673189999999</v>
      </c>
      <c r="F1150" s="1131">
        <v>355.61891580000002</v>
      </c>
      <c r="G1150" s="333">
        <v>444.52364619999997</v>
      </c>
    </row>
    <row r="1151" spans="1:7" x14ac:dyDescent="0.2">
      <c r="A1151" s="332">
        <v>53005</v>
      </c>
      <c r="B1151" s="321" t="s">
        <v>1854</v>
      </c>
      <c r="C1151" s="1098"/>
      <c r="D1151" s="1098">
        <f>'[15]Input Sheet'!Q760</f>
        <v>0</v>
      </c>
      <c r="E1151" s="1098">
        <f>'[15]Input Sheet'!R760</f>
        <v>0</v>
      </c>
      <c r="F1151" s="1131">
        <v>0</v>
      </c>
      <c r="G1151" s="333">
        <v>0</v>
      </c>
    </row>
    <row r="1152" spans="1:7" x14ac:dyDescent="0.2">
      <c r="A1152" s="332">
        <v>53006</v>
      </c>
      <c r="B1152" s="321" t="s">
        <v>1855</v>
      </c>
      <c r="C1152" s="1098"/>
      <c r="D1152" s="1098">
        <f>'[15]Input Sheet'!Q761</f>
        <v>0</v>
      </c>
      <c r="E1152" s="1098">
        <f>'[15]Input Sheet'!R761</f>
        <v>0</v>
      </c>
      <c r="F1152" s="1131">
        <v>0</v>
      </c>
      <c r="G1152" s="333">
        <v>0</v>
      </c>
    </row>
    <row r="1153" spans="1:7" x14ac:dyDescent="0.2">
      <c r="A1153" s="332">
        <v>53007</v>
      </c>
      <c r="B1153" s="321" t="s">
        <v>1856</v>
      </c>
      <c r="C1153" s="1098"/>
      <c r="D1153" s="1098">
        <f>'[15]Input Sheet'!Q762</f>
        <v>0</v>
      </c>
      <c r="E1153" s="1098">
        <f>'[15]Input Sheet'!R762</f>
        <v>0</v>
      </c>
      <c r="F1153" s="1131">
        <v>0</v>
      </c>
      <c r="G1153" s="333">
        <v>0</v>
      </c>
    </row>
    <row r="1154" spans="1:7" x14ac:dyDescent="0.2">
      <c r="A1154" s="332">
        <v>53008</v>
      </c>
      <c r="B1154" s="321" t="s">
        <v>1857</v>
      </c>
      <c r="C1154" s="1098"/>
      <c r="D1154" s="1098">
        <f>'[15]Input Sheet'!Q763</f>
        <v>0</v>
      </c>
      <c r="E1154" s="1098">
        <f>'[15]Input Sheet'!R763</f>
        <v>0</v>
      </c>
      <c r="F1154" s="1131">
        <v>0</v>
      </c>
      <c r="G1154" s="333">
        <v>0</v>
      </c>
    </row>
    <row r="1155" spans="1:7" x14ac:dyDescent="0.2">
      <c r="A1155" s="332">
        <v>53009</v>
      </c>
      <c r="B1155" s="321" t="s">
        <v>1858</v>
      </c>
      <c r="C1155" s="1098"/>
      <c r="D1155" s="1098">
        <f>'[15]Input Sheet'!Q764</f>
        <v>0</v>
      </c>
      <c r="E1155" s="1098">
        <f>'[15]Input Sheet'!R764</f>
        <v>0</v>
      </c>
      <c r="F1155" s="1131">
        <v>0</v>
      </c>
      <c r="G1155" s="333">
        <v>0</v>
      </c>
    </row>
    <row r="1156" spans="1:7" x14ac:dyDescent="0.2">
      <c r="A1156" s="332">
        <v>53010</v>
      </c>
      <c r="B1156" s="321" t="s">
        <v>1859</v>
      </c>
      <c r="C1156" s="1098"/>
      <c r="D1156" s="1098">
        <f>'[15]Input Sheet'!Q765</f>
        <v>0</v>
      </c>
      <c r="E1156" s="1098">
        <f>'[15]Input Sheet'!R765</f>
        <v>0</v>
      </c>
      <c r="F1156" s="1131">
        <v>0</v>
      </c>
      <c r="G1156" s="333">
        <v>0</v>
      </c>
    </row>
    <row r="1157" spans="1:7" x14ac:dyDescent="0.2">
      <c r="A1157" s="332">
        <v>53011</v>
      </c>
      <c r="B1157" s="321" t="s">
        <v>1860</v>
      </c>
      <c r="C1157" s="1098"/>
      <c r="D1157" s="1098">
        <f>'[15]Input Sheet'!Q766</f>
        <v>0</v>
      </c>
      <c r="E1157" s="1098">
        <f>'[15]Input Sheet'!R766</f>
        <v>0</v>
      </c>
      <c r="F1157" s="1131">
        <v>0</v>
      </c>
      <c r="G1157" s="333">
        <v>0</v>
      </c>
    </row>
    <row r="1158" spans="1:7" x14ac:dyDescent="0.2">
      <c r="A1158" s="332">
        <v>53012</v>
      </c>
      <c r="B1158" s="321" t="s">
        <v>1861</v>
      </c>
      <c r="C1158" s="1098"/>
      <c r="D1158" s="1098">
        <f>'[15]Input Sheet'!Q767</f>
        <v>0</v>
      </c>
      <c r="E1158" s="1098">
        <f>'[15]Input Sheet'!R767</f>
        <v>0</v>
      </c>
      <c r="F1158" s="1131">
        <v>0</v>
      </c>
      <c r="G1158" s="333">
        <v>0</v>
      </c>
    </row>
    <row r="1159" spans="1:7" x14ac:dyDescent="0.2">
      <c r="A1159" s="332">
        <v>53013</v>
      </c>
      <c r="B1159" s="321" t="s">
        <v>1862</v>
      </c>
      <c r="C1159" s="1098"/>
      <c r="D1159" s="1098">
        <f>'[15]Input Sheet'!Q768</f>
        <v>0</v>
      </c>
      <c r="E1159" s="1098">
        <f>'[15]Input Sheet'!R768</f>
        <v>0</v>
      </c>
      <c r="F1159" s="1131">
        <v>0</v>
      </c>
      <c r="G1159" s="333">
        <v>0</v>
      </c>
    </row>
    <row r="1160" spans="1:7" x14ac:dyDescent="0.2">
      <c r="A1160" s="332">
        <v>53014</v>
      </c>
      <c r="B1160" s="321" t="s">
        <v>1863</v>
      </c>
      <c r="C1160" s="1098"/>
      <c r="D1160" s="1098">
        <f>'[15]Input Sheet'!Q769</f>
        <v>0</v>
      </c>
      <c r="E1160" s="1098">
        <f>'[15]Input Sheet'!R769</f>
        <v>0</v>
      </c>
      <c r="F1160" s="1131">
        <v>0</v>
      </c>
      <c r="G1160" s="333">
        <v>0</v>
      </c>
    </row>
    <row r="1161" spans="1:7" x14ac:dyDescent="0.2">
      <c r="A1161" s="332">
        <v>53015</v>
      </c>
      <c r="B1161" s="321" t="s">
        <v>1864</v>
      </c>
      <c r="C1161" s="1098"/>
      <c r="D1161" s="1098">
        <f>'[15]Input Sheet'!Q770</f>
        <v>0</v>
      </c>
      <c r="E1161" s="1098">
        <f>'[15]Input Sheet'!R770</f>
        <v>0</v>
      </c>
      <c r="F1161" s="1131">
        <v>0</v>
      </c>
      <c r="G1161" s="333">
        <v>0</v>
      </c>
    </row>
    <row r="1162" spans="1:7" x14ac:dyDescent="0.2">
      <c r="A1162" s="332">
        <v>53016</v>
      </c>
      <c r="B1162" s="321" t="s">
        <v>1865</v>
      </c>
      <c r="C1162" s="1098"/>
      <c r="D1162" s="1098">
        <f>'[15]Input Sheet'!Q771</f>
        <v>0</v>
      </c>
      <c r="E1162" s="1098">
        <f>'[15]Input Sheet'!R771</f>
        <v>0</v>
      </c>
      <c r="F1162" s="1131">
        <v>0</v>
      </c>
      <c r="G1162" s="333">
        <v>0</v>
      </c>
    </row>
    <row r="1163" spans="1:7" x14ac:dyDescent="0.2">
      <c r="A1163" s="332">
        <v>53017</v>
      </c>
      <c r="B1163" s="321" t="s">
        <v>1866</v>
      </c>
      <c r="C1163" s="1098"/>
      <c r="D1163" s="1098">
        <f>'[15]Input Sheet'!Q772</f>
        <v>0</v>
      </c>
      <c r="E1163" s="1098">
        <f>'[15]Input Sheet'!R772</f>
        <v>0</v>
      </c>
      <c r="F1163" s="1131">
        <v>0</v>
      </c>
      <c r="G1163" s="333">
        <v>0</v>
      </c>
    </row>
    <row r="1164" spans="1:7" x14ac:dyDescent="0.2">
      <c r="A1164" s="332">
        <v>53018</v>
      </c>
      <c r="B1164" s="321" t="s">
        <v>1867</v>
      </c>
      <c r="C1164" s="1098"/>
      <c r="D1164" s="1098">
        <f>'[15]Input Sheet'!Q773</f>
        <v>0</v>
      </c>
      <c r="E1164" s="1098">
        <f>'[15]Input Sheet'!R773</f>
        <v>0</v>
      </c>
      <c r="F1164" s="1131">
        <v>0</v>
      </c>
      <c r="G1164" s="333">
        <v>0</v>
      </c>
    </row>
    <row r="1165" spans="1:7" x14ac:dyDescent="0.2">
      <c r="A1165" s="332">
        <v>53019</v>
      </c>
      <c r="B1165" s="321" t="s">
        <v>1868</v>
      </c>
      <c r="C1165" s="1098"/>
      <c r="D1165" s="1098">
        <f>'[15]Input Sheet'!Q774</f>
        <v>0</v>
      </c>
      <c r="E1165" s="1098">
        <f>'[15]Input Sheet'!R774</f>
        <v>0</v>
      </c>
      <c r="F1165" s="1131">
        <v>0</v>
      </c>
      <c r="G1165" s="333">
        <v>0</v>
      </c>
    </row>
    <row r="1166" spans="1:7" x14ac:dyDescent="0.2">
      <c r="A1166" s="332">
        <v>53020</v>
      </c>
      <c r="B1166" s="321" t="s">
        <v>1869</v>
      </c>
      <c r="C1166" s="1098"/>
      <c r="D1166" s="1098">
        <f>'[15]Input Sheet'!Q775</f>
        <v>0</v>
      </c>
      <c r="E1166" s="1098">
        <f>'[15]Input Sheet'!R775</f>
        <v>0</v>
      </c>
      <c r="F1166" s="1131">
        <v>0</v>
      </c>
      <c r="G1166" s="333">
        <v>0</v>
      </c>
    </row>
    <row r="1167" spans="1:7" x14ac:dyDescent="0.2">
      <c r="A1167" s="332">
        <v>53021</v>
      </c>
      <c r="B1167" s="321" t="s">
        <v>1870</v>
      </c>
      <c r="C1167" s="1098"/>
      <c r="D1167" s="1098">
        <f>'[15]Input Sheet'!Q776</f>
        <v>0</v>
      </c>
      <c r="E1167" s="1098">
        <f>'[15]Input Sheet'!R776</f>
        <v>0</v>
      </c>
      <c r="F1167" s="1131">
        <v>0</v>
      </c>
      <c r="G1167" s="333">
        <v>0</v>
      </c>
    </row>
    <row r="1168" spans="1:7" x14ac:dyDescent="0.2">
      <c r="A1168" s="332">
        <v>53022</v>
      </c>
      <c r="B1168" s="321" t="s">
        <v>1871</v>
      </c>
      <c r="C1168" s="1098"/>
      <c r="D1168" s="1098">
        <f>'[15]Input Sheet'!Q777</f>
        <v>0</v>
      </c>
      <c r="E1168" s="1098">
        <f>'[15]Input Sheet'!R777</f>
        <v>0</v>
      </c>
      <c r="F1168" s="1131">
        <v>0</v>
      </c>
      <c r="G1168" s="333">
        <v>0.649922</v>
      </c>
    </row>
    <row r="1169" spans="1:7" x14ac:dyDescent="0.2">
      <c r="A1169" s="332">
        <v>53023</v>
      </c>
      <c r="B1169" s="321" t="s">
        <v>1872</v>
      </c>
      <c r="C1169" s="1098"/>
      <c r="D1169" s="1098">
        <f>'[15]Input Sheet'!Q778</f>
        <v>0</v>
      </c>
      <c r="E1169" s="1098">
        <f>'[15]Input Sheet'!R778</f>
        <v>0</v>
      </c>
      <c r="F1169" s="1131">
        <v>0</v>
      </c>
      <c r="G1169" s="333">
        <v>0.16552529999999999</v>
      </c>
    </row>
    <row r="1170" spans="1:7" x14ac:dyDescent="0.2">
      <c r="A1170" s="332">
        <v>53024</v>
      </c>
      <c r="B1170" s="321" t="s">
        <v>1873</v>
      </c>
      <c r="C1170" s="1098"/>
      <c r="D1170" s="1098">
        <f>'[15]Input Sheet'!Q779</f>
        <v>0</v>
      </c>
      <c r="E1170" s="1098">
        <f>'[15]Input Sheet'!R779</f>
        <v>0</v>
      </c>
      <c r="F1170" s="1131">
        <v>0</v>
      </c>
      <c r="G1170" s="333">
        <v>0.7099955</v>
      </c>
    </row>
    <row r="1171" spans="1:7" x14ac:dyDescent="0.2">
      <c r="A1171" s="332">
        <v>53025</v>
      </c>
      <c r="B1171" s="321" t="s">
        <v>1874</v>
      </c>
      <c r="C1171" s="1098"/>
      <c r="D1171" s="1098">
        <f>'[15]Input Sheet'!Q780</f>
        <v>0</v>
      </c>
      <c r="E1171" s="1098">
        <f>'[15]Input Sheet'!R780</f>
        <v>0</v>
      </c>
      <c r="F1171" s="1131">
        <v>0</v>
      </c>
      <c r="G1171" s="333">
        <v>1.0416700999999999</v>
      </c>
    </row>
    <row r="1172" spans="1:7" x14ac:dyDescent="0.2">
      <c r="A1172" s="332">
        <v>53026</v>
      </c>
      <c r="B1172" s="321" t="s">
        <v>1875</v>
      </c>
      <c r="C1172" s="1098"/>
      <c r="D1172" s="1098">
        <f>'[15]Input Sheet'!Q781</f>
        <v>0</v>
      </c>
      <c r="E1172" s="1098">
        <f>'[15]Input Sheet'!R781</f>
        <v>0</v>
      </c>
      <c r="F1172" s="1131">
        <v>0</v>
      </c>
      <c r="G1172" s="333">
        <v>0</v>
      </c>
    </row>
    <row r="1173" spans="1:7" x14ac:dyDescent="0.2">
      <c r="A1173" s="332">
        <v>53027</v>
      </c>
      <c r="B1173" s="321" t="s">
        <v>1876</v>
      </c>
      <c r="C1173" s="1098"/>
      <c r="D1173" s="1098">
        <f>'[15]Input Sheet'!Q782</f>
        <v>0</v>
      </c>
      <c r="E1173" s="1098">
        <f>'[15]Input Sheet'!R782</f>
        <v>0</v>
      </c>
      <c r="F1173" s="1131">
        <v>0</v>
      </c>
      <c r="G1173" s="333">
        <v>0.89015480000000002</v>
      </c>
    </row>
    <row r="1174" spans="1:7" x14ac:dyDescent="0.2">
      <c r="A1174" s="332">
        <v>53028</v>
      </c>
      <c r="B1174" s="321" t="s">
        <v>1877</v>
      </c>
      <c r="C1174" s="1098"/>
      <c r="D1174" s="1098">
        <f>'[15]Input Sheet'!Q783</f>
        <v>0</v>
      </c>
      <c r="E1174" s="1098">
        <f>'[15]Input Sheet'!R783</f>
        <v>0</v>
      </c>
      <c r="F1174" s="1131">
        <v>1.6841667</v>
      </c>
      <c r="G1174" s="333">
        <v>5.0525000999999996</v>
      </c>
    </row>
    <row r="1175" spans="1:7" x14ac:dyDescent="0.2">
      <c r="A1175" s="332">
        <v>53029</v>
      </c>
      <c r="B1175" s="321" t="s">
        <v>1878</v>
      </c>
      <c r="C1175" s="1098"/>
      <c r="D1175" s="1098">
        <f>'[15]Input Sheet'!Q784</f>
        <v>0</v>
      </c>
      <c r="E1175" s="1098">
        <f>'[15]Input Sheet'!R784</f>
        <v>0</v>
      </c>
      <c r="F1175" s="1131">
        <v>0</v>
      </c>
      <c r="G1175" s="333">
        <v>0</v>
      </c>
    </row>
    <row r="1176" spans="1:7" x14ac:dyDescent="0.2">
      <c r="A1176" s="332">
        <v>53030</v>
      </c>
      <c r="B1176" s="321" t="s">
        <v>1879</v>
      </c>
      <c r="C1176" s="1098"/>
      <c r="D1176" s="1098">
        <f>'[15]Input Sheet'!Q785</f>
        <v>0</v>
      </c>
      <c r="E1176" s="1098">
        <f>'[15]Input Sheet'!R785</f>
        <v>6052.8968507</v>
      </c>
      <c r="F1176" s="1131">
        <v>6830.3331446000002</v>
      </c>
      <c r="G1176" s="333">
        <v>7496.3716464999998</v>
      </c>
    </row>
    <row r="1177" spans="1:7" x14ac:dyDescent="0.2">
      <c r="A1177" s="332">
        <v>53031</v>
      </c>
      <c r="B1177" s="321" t="s">
        <v>1880</v>
      </c>
      <c r="C1177" s="1098"/>
      <c r="D1177" s="1098">
        <f>'[15]Input Sheet'!Q786</f>
        <v>0</v>
      </c>
      <c r="E1177" s="1098">
        <f>'[15]Input Sheet'!R786</f>
        <v>4.7716668000000002</v>
      </c>
      <c r="F1177" s="1131">
        <v>7.1575002000000003</v>
      </c>
      <c r="G1177" s="333">
        <v>9.5433336000000004</v>
      </c>
    </row>
    <row r="1178" spans="1:7" x14ac:dyDescent="0.2">
      <c r="A1178" s="332">
        <v>53032</v>
      </c>
      <c r="B1178" s="321" t="s">
        <v>1852</v>
      </c>
      <c r="C1178" s="1098"/>
      <c r="D1178" s="1098">
        <f>'[15]Input Sheet'!Q787</f>
        <v>0</v>
      </c>
      <c r="E1178" s="1098">
        <f>'[15]Input Sheet'!R787</f>
        <v>201.92370980000001</v>
      </c>
      <c r="F1178" s="1131">
        <v>285.06876799999998</v>
      </c>
      <c r="G1178" s="333">
        <v>356.33596039999998</v>
      </c>
    </row>
    <row r="1179" spans="1:7" x14ac:dyDescent="0.2">
      <c r="A1179" s="332">
        <v>53033</v>
      </c>
      <c r="B1179" s="321" t="s">
        <v>1881</v>
      </c>
      <c r="C1179" s="1098"/>
      <c r="D1179" s="1098">
        <f>'[15]Input Sheet'!Q788</f>
        <v>0</v>
      </c>
      <c r="E1179" s="1098">
        <f>'[15]Input Sheet'!R788</f>
        <v>0</v>
      </c>
      <c r="F1179" s="1131">
        <v>0</v>
      </c>
      <c r="G1179" s="333">
        <v>0</v>
      </c>
    </row>
    <row r="1180" spans="1:7" x14ac:dyDescent="0.2">
      <c r="A1180" s="332">
        <v>53034</v>
      </c>
      <c r="B1180" s="321" t="s">
        <v>1882</v>
      </c>
      <c r="C1180" s="1098"/>
      <c r="D1180" s="1098">
        <f>'[15]Input Sheet'!Q789</f>
        <v>0</v>
      </c>
      <c r="E1180" s="1098">
        <f>'[15]Input Sheet'!R789</f>
        <v>27.671571499999999</v>
      </c>
      <c r="F1180" s="1131">
        <v>59.247347699999999</v>
      </c>
      <c r="G1180" s="333">
        <v>90.823124000000007</v>
      </c>
    </row>
    <row r="1181" spans="1:7" x14ac:dyDescent="0.2">
      <c r="A1181" s="332">
        <v>53035</v>
      </c>
      <c r="B1181" s="321" t="s">
        <v>1883</v>
      </c>
      <c r="C1181" s="1098"/>
      <c r="D1181" s="1098">
        <f>'[15]Input Sheet'!Q790</f>
        <v>0</v>
      </c>
      <c r="E1181" s="1098">
        <f>'[15]Input Sheet'!R790</f>
        <v>78.100000199999997</v>
      </c>
      <c r="F1181" s="1131">
        <v>92.300000299999994</v>
      </c>
      <c r="G1181" s="333">
        <v>106.5000002</v>
      </c>
    </row>
    <row r="1182" spans="1:7" x14ac:dyDescent="0.2">
      <c r="A1182" s="332">
        <v>53036</v>
      </c>
      <c r="B1182" s="321" t="s">
        <v>1884</v>
      </c>
      <c r="C1182" s="1098"/>
      <c r="D1182" s="1098">
        <f>'[15]Input Sheet'!Q791</f>
        <v>0</v>
      </c>
      <c r="E1182" s="1098">
        <f>'[15]Input Sheet'!R791</f>
        <v>3.9635123999999999</v>
      </c>
      <c r="F1182" s="1131">
        <v>4.4298079000000001</v>
      </c>
      <c r="G1182" s="333">
        <v>4.8961033</v>
      </c>
    </row>
    <row r="1183" spans="1:7" x14ac:dyDescent="0.2">
      <c r="A1183" s="332">
        <v>53037</v>
      </c>
      <c r="B1183" s="321" t="s">
        <v>1885</v>
      </c>
      <c r="C1183" s="1098"/>
      <c r="D1183" s="1098">
        <f>'[15]Input Sheet'!Q792</f>
        <v>0</v>
      </c>
      <c r="E1183" s="1098">
        <f>'[15]Input Sheet'!R792</f>
        <v>68.291800300000006</v>
      </c>
      <c r="F1183" s="1131">
        <v>71.424684400000004</v>
      </c>
      <c r="G1183" s="333">
        <v>66.459262499999994</v>
      </c>
    </row>
    <row r="1184" spans="1:7" x14ac:dyDescent="0.2">
      <c r="A1184" s="332">
        <v>53038</v>
      </c>
      <c r="B1184" s="321" t="s">
        <v>1886</v>
      </c>
      <c r="C1184" s="1098"/>
      <c r="D1184" s="1098">
        <f>'[15]Input Sheet'!Q793</f>
        <v>0</v>
      </c>
      <c r="E1184" s="1098">
        <f>'[15]Input Sheet'!R793</f>
        <v>0</v>
      </c>
      <c r="F1184" s="1131">
        <v>0</v>
      </c>
      <c r="G1184" s="333">
        <v>0</v>
      </c>
    </row>
    <row r="1185" spans="1:7" x14ac:dyDescent="0.2">
      <c r="A1185" s="332">
        <v>53039</v>
      </c>
      <c r="B1185" s="321" t="s">
        <v>1887</v>
      </c>
      <c r="C1185" s="1098"/>
      <c r="D1185" s="1098">
        <f>'[15]Input Sheet'!Q794</f>
        <v>0</v>
      </c>
      <c r="E1185" s="1098">
        <f>'[15]Input Sheet'!R794</f>
        <v>0</v>
      </c>
      <c r="F1185" s="1131">
        <v>0</v>
      </c>
      <c r="G1185" s="333">
        <v>0</v>
      </c>
    </row>
    <row r="1186" spans="1:7" x14ac:dyDescent="0.2">
      <c r="A1186" s="332">
        <v>53040</v>
      </c>
      <c r="B1186" s="321" t="s">
        <v>1888</v>
      </c>
      <c r="C1186" s="1098"/>
      <c r="D1186" s="1098">
        <f>'[15]Input Sheet'!Q795</f>
        <v>0</v>
      </c>
      <c r="E1186" s="1098">
        <f>'[15]Input Sheet'!R795</f>
        <v>3.5282371000000001</v>
      </c>
      <c r="F1186" s="1131">
        <v>3.9986687999999999</v>
      </c>
      <c r="G1186" s="333">
        <v>4.4691010999999996</v>
      </c>
    </row>
    <row r="1187" spans="1:7" x14ac:dyDescent="0.2">
      <c r="A1187" s="332">
        <v>53041</v>
      </c>
      <c r="B1187" s="321" t="s">
        <v>1889</v>
      </c>
      <c r="C1187" s="1098"/>
      <c r="D1187" s="1098">
        <f>'[15]Input Sheet'!Q796</f>
        <v>0</v>
      </c>
      <c r="E1187" s="1098">
        <f>'[15]Input Sheet'!R796</f>
        <v>12.203099999999999</v>
      </c>
      <c r="F1187" s="1131">
        <v>13.8301801</v>
      </c>
      <c r="G1187" s="333">
        <v>15.4572603</v>
      </c>
    </row>
    <row r="1188" spans="1:7" x14ac:dyDescent="0.2">
      <c r="A1188" s="332">
        <v>53042</v>
      </c>
      <c r="B1188" s="321" t="s">
        <v>1890</v>
      </c>
      <c r="C1188" s="1098"/>
      <c r="D1188" s="1098">
        <f>'[15]Input Sheet'!Q797</f>
        <v>0</v>
      </c>
      <c r="E1188" s="1098">
        <f>'[15]Input Sheet'!R797</f>
        <v>0</v>
      </c>
      <c r="F1188" s="1131">
        <v>0</v>
      </c>
      <c r="G1188" s="333">
        <v>0</v>
      </c>
    </row>
    <row r="1189" spans="1:7" x14ac:dyDescent="0.2">
      <c r="A1189" s="332">
        <v>53043</v>
      </c>
      <c r="B1189" s="321" t="s">
        <v>1891</v>
      </c>
      <c r="C1189" s="1098"/>
      <c r="D1189" s="1098">
        <f>'[15]Input Sheet'!Q798</f>
        <v>0</v>
      </c>
      <c r="E1189" s="1098">
        <f>'[15]Input Sheet'!R798</f>
        <v>0</v>
      </c>
      <c r="F1189" s="1131">
        <v>0</v>
      </c>
      <c r="G1189" s="333">
        <v>0</v>
      </c>
    </row>
    <row r="1190" spans="1:7" x14ac:dyDescent="0.2">
      <c r="A1190" s="332">
        <v>53044</v>
      </c>
      <c r="B1190" s="321" t="s">
        <v>1892</v>
      </c>
      <c r="C1190" s="1098"/>
      <c r="D1190" s="1098">
        <f>'[15]Input Sheet'!Q799</f>
        <v>0</v>
      </c>
      <c r="E1190" s="1098">
        <f>'[15]Input Sheet'!R799</f>
        <v>0</v>
      </c>
      <c r="F1190" s="1131">
        <v>0</v>
      </c>
      <c r="G1190" s="333">
        <v>0</v>
      </c>
    </row>
    <row r="1191" spans="1:7" x14ac:dyDescent="0.2">
      <c r="A1191" s="332">
        <v>53045</v>
      </c>
      <c r="B1191" s="321" t="s">
        <v>1893</v>
      </c>
      <c r="C1191" s="1098"/>
      <c r="D1191" s="1098">
        <f>'[15]Input Sheet'!Q800</f>
        <v>0</v>
      </c>
      <c r="E1191" s="1098">
        <f>'[15]Input Sheet'!R800</f>
        <v>1.84426</v>
      </c>
      <c r="F1191" s="1131">
        <v>2.1393415</v>
      </c>
      <c r="G1191" s="333">
        <v>2.4344231000000001</v>
      </c>
    </row>
    <row r="1192" spans="1:7" x14ac:dyDescent="0.2">
      <c r="A1192" s="332">
        <v>53046</v>
      </c>
      <c r="B1192" s="321" t="s">
        <v>1894</v>
      </c>
      <c r="C1192" s="1098"/>
      <c r="D1192" s="1098">
        <f>'[15]Input Sheet'!Q801</f>
        <v>0</v>
      </c>
      <c r="E1192" s="1098">
        <f>'[15]Input Sheet'!R801</f>
        <v>0.34708660000000002</v>
      </c>
      <c r="F1192" s="1131">
        <v>0.3879203</v>
      </c>
      <c r="G1192" s="333">
        <v>0.42875400000000002</v>
      </c>
    </row>
    <row r="1193" spans="1:7" x14ac:dyDescent="0.2">
      <c r="A1193" s="332">
        <v>53047</v>
      </c>
      <c r="B1193" s="321" t="s">
        <v>1895</v>
      </c>
      <c r="C1193" s="1098"/>
      <c r="D1193" s="1098">
        <f>'[15]Input Sheet'!Q802</f>
        <v>0</v>
      </c>
      <c r="E1193" s="1098">
        <f>'[15]Input Sheet'!R802</f>
        <v>4.3368171999999996</v>
      </c>
      <c r="F1193" s="1131">
        <v>4.8470310000000003</v>
      </c>
      <c r="G1193" s="333">
        <v>5.3572445999999996</v>
      </c>
    </row>
    <row r="1194" spans="1:7" x14ac:dyDescent="0.2">
      <c r="A1194" s="332">
        <v>53048</v>
      </c>
      <c r="B1194" s="321" t="s">
        <v>1896</v>
      </c>
      <c r="C1194" s="1098"/>
      <c r="D1194" s="1098">
        <f>'[15]Input Sheet'!Q803</f>
        <v>0</v>
      </c>
      <c r="E1194" s="1098">
        <f>'[15]Input Sheet'!R803</f>
        <v>4.4185619999999997</v>
      </c>
      <c r="F1194" s="1131">
        <v>4.9383927999999999</v>
      </c>
      <c r="G1194" s="333">
        <v>5.4582234999999999</v>
      </c>
    </row>
    <row r="1195" spans="1:7" x14ac:dyDescent="0.2">
      <c r="A1195" s="332">
        <v>53049</v>
      </c>
      <c r="B1195" s="321" t="s">
        <v>1897</v>
      </c>
      <c r="C1195" s="1098"/>
      <c r="D1195" s="1098">
        <f>'[15]Input Sheet'!Q804</f>
        <v>0</v>
      </c>
      <c r="E1195" s="1098">
        <f>'[15]Input Sheet'!R804</f>
        <v>0</v>
      </c>
      <c r="F1195" s="1131">
        <v>0</v>
      </c>
      <c r="G1195" s="333">
        <v>0</v>
      </c>
    </row>
    <row r="1196" spans="1:7" x14ac:dyDescent="0.2">
      <c r="A1196" s="332">
        <v>53050</v>
      </c>
      <c r="B1196" s="321" t="s">
        <v>1898</v>
      </c>
      <c r="C1196" s="1098"/>
      <c r="D1196" s="1098">
        <f>'[15]Input Sheet'!Q805</f>
        <v>0</v>
      </c>
      <c r="E1196" s="1098">
        <f>'[15]Input Sheet'!R805</f>
        <v>3.7423511999999999</v>
      </c>
      <c r="F1196" s="1131">
        <v>4.2413314</v>
      </c>
      <c r="G1196" s="333">
        <v>4.7403111999999998</v>
      </c>
    </row>
    <row r="1197" spans="1:7" x14ac:dyDescent="0.2">
      <c r="A1197" s="332">
        <v>53051</v>
      </c>
      <c r="B1197" s="321" t="s">
        <v>1899</v>
      </c>
      <c r="C1197" s="1098"/>
      <c r="D1197" s="1098">
        <f>'[15]Input Sheet'!Q806</f>
        <v>0</v>
      </c>
      <c r="E1197" s="1098">
        <f>'[15]Input Sheet'!R806</f>
        <v>0</v>
      </c>
      <c r="F1197" s="1131">
        <v>0</v>
      </c>
      <c r="G1197" s="333">
        <v>0</v>
      </c>
    </row>
    <row r="1198" spans="1:7" x14ac:dyDescent="0.2">
      <c r="A1198" s="332">
        <v>53052</v>
      </c>
      <c r="B1198" s="321" t="s">
        <v>1900</v>
      </c>
      <c r="C1198" s="1098"/>
      <c r="D1198" s="1098">
        <f>'[15]Input Sheet'!Q807</f>
        <v>0</v>
      </c>
      <c r="E1198" s="1098">
        <f>'[15]Input Sheet'!R807</f>
        <v>0</v>
      </c>
      <c r="F1198" s="1131">
        <v>0</v>
      </c>
      <c r="G1198" s="333">
        <v>0</v>
      </c>
    </row>
    <row r="1199" spans="1:7" x14ac:dyDescent="0.2">
      <c r="A1199" s="332">
        <v>53053</v>
      </c>
      <c r="B1199" s="321" t="s">
        <v>1901</v>
      </c>
      <c r="C1199" s="1098"/>
      <c r="D1199" s="1098">
        <f>'[15]Input Sheet'!Q808</f>
        <v>0</v>
      </c>
      <c r="E1199" s="1098">
        <f>'[15]Input Sheet'!R808</f>
        <v>8.0179378000000003</v>
      </c>
      <c r="F1199" s="1131">
        <v>9.2057803000000007</v>
      </c>
      <c r="G1199" s="333">
        <v>10.3936229</v>
      </c>
    </row>
    <row r="1200" spans="1:7" x14ac:dyDescent="0.2">
      <c r="A1200" s="332">
        <v>53054</v>
      </c>
      <c r="B1200" s="321" t="s">
        <v>1902</v>
      </c>
      <c r="C1200" s="1098"/>
      <c r="D1200" s="1098">
        <f>'[15]Input Sheet'!Q809</f>
        <v>0</v>
      </c>
      <c r="E1200" s="1098">
        <f>'[15]Input Sheet'!R809</f>
        <v>18.38</v>
      </c>
      <c r="F1200" s="1131">
        <v>20.218</v>
      </c>
      <c r="G1200" s="333">
        <v>22.056000000000001</v>
      </c>
    </row>
    <row r="1201" spans="1:7" x14ac:dyDescent="0.2">
      <c r="A1201" s="332">
        <v>53055</v>
      </c>
      <c r="B1201" s="321" t="s">
        <v>1903</v>
      </c>
      <c r="C1201" s="1098"/>
      <c r="D1201" s="1098">
        <f>'[15]Input Sheet'!Q810</f>
        <v>0</v>
      </c>
      <c r="E1201" s="1098">
        <f>'[15]Input Sheet'!R810</f>
        <v>11.336497700000001</v>
      </c>
      <c r="F1201" s="1131">
        <v>13.080573899999999</v>
      </c>
      <c r="G1201" s="333">
        <v>14.824650399999999</v>
      </c>
    </row>
    <row r="1202" spans="1:7" x14ac:dyDescent="0.2">
      <c r="A1202" s="332">
        <v>53056</v>
      </c>
      <c r="B1202" s="321" t="s">
        <v>1904</v>
      </c>
      <c r="C1202" s="1098"/>
      <c r="D1202" s="1098">
        <f>'[15]Input Sheet'!Q811</f>
        <v>0</v>
      </c>
      <c r="E1202" s="1098">
        <f>'[15]Input Sheet'!R811</f>
        <v>6.3466661000000002</v>
      </c>
      <c r="F1202" s="1131">
        <v>7.0719994000000002</v>
      </c>
      <c r="G1202" s="333">
        <v>7.7973330000000001</v>
      </c>
    </row>
    <row r="1203" spans="1:7" x14ac:dyDescent="0.2">
      <c r="A1203" s="332">
        <v>53057</v>
      </c>
      <c r="B1203" s="321" t="s">
        <v>1905</v>
      </c>
      <c r="C1203" s="1098"/>
      <c r="D1203" s="1098">
        <f>'[15]Input Sheet'!Q812</f>
        <v>0</v>
      </c>
      <c r="E1203" s="1098">
        <f>'[15]Input Sheet'!R812</f>
        <v>0</v>
      </c>
      <c r="F1203" s="1131">
        <v>0</v>
      </c>
      <c r="G1203" s="333">
        <v>0</v>
      </c>
    </row>
    <row r="1204" spans="1:7" x14ac:dyDescent="0.2">
      <c r="A1204" s="332">
        <v>53058</v>
      </c>
      <c r="B1204" s="321" t="s">
        <v>1906</v>
      </c>
      <c r="C1204" s="1098"/>
      <c r="D1204" s="1098">
        <f>'[15]Input Sheet'!Q813</f>
        <v>0</v>
      </c>
      <c r="E1204" s="1098">
        <f>'[15]Input Sheet'!R813</f>
        <v>0.83160509999999999</v>
      </c>
      <c r="F1204" s="1131">
        <v>0.94248589999999999</v>
      </c>
      <c r="G1204" s="333">
        <v>1.0533665999999999</v>
      </c>
    </row>
    <row r="1205" spans="1:7" x14ac:dyDescent="0.2">
      <c r="A1205" s="332">
        <v>53059</v>
      </c>
      <c r="B1205" s="321" t="s">
        <v>1907</v>
      </c>
      <c r="C1205" s="1098"/>
      <c r="D1205" s="1098">
        <f>'[15]Input Sheet'!Q814</f>
        <v>0</v>
      </c>
      <c r="E1205" s="1098">
        <f>'[15]Input Sheet'!R814</f>
        <v>3.4929098999999999</v>
      </c>
      <c r="F1205" s="1131">
        <v>3.9586312000000001</v>
      </c>
      <c r="G1205" s="333">
        <v>4.4243525000000004</v>
      </c>
    </row>
    <row r="1206" spans="1:7" x14ac:dyDescent="0.2">
      <c r="A1206" s="332">
        <v>53060</v>
      </c>
      <c r="B1206" s="321" t="s">
        <v>1908</v>
      </c>
      <c r="C1206" s="1098"/>
      <c r="D1206" s="1098">
        <f>'[15]Input Sheet'!Q815</f>
        <v>0</v>
      </c>
      <c r="E1206" s="1098">
        <f>'[15]Input Sheet'!R815</f>
        <v>1.0026366</v>
      </c>
      <c r="F1206" s="1131">
        <v>1.1363216</v>
      </c>
      <c r="G1206" s="333">
        <v>1.2700065</v>
      </c>
    </row>
    <row r="1207" spans="1:7" x14ac:dyDescent="0.2">
      <c r="A1207" s="332">
        <v>53061</v>
      </c>
      <c r="B1207" s="321" t="s">
        <v>1909</v>
      </c>
      <c r="C1207" s="1098"/>
      <c r="D1207" s="1098">
        <f>'[15]Input Sheet'!Q816</f>
        <v>0</v>
      </c>
      <c r="E1207" s="1098">
        <f>'[15]Input Sheet'!R816</f>
        <v>3.2415259000000001</v>
      </c>
      <c r="F1207" s="1131">
        <v>3.6737294999999999</v>
      </c>
      <c r="G1207" s="333">
        <v>4.1059330000000003</v>
      </c>
    </row>
    <row r="1208" spans="1:7" x14ac:dyDescent="0.2">
      <c r="A1208" s="332">
        <v>53062</v>
      </c>
      <c r="B1208" s="321" t="s">
        <v>1910</v>
      </c>
      <c r="C1208" s="1098"/>
      <c r="D1208" s="1098">
        <f>'[15]Input Sheet'!Q817</f>
        <v>0</v>
      </c>
      <c r="E1208" s="1098">
        <f>'[15]Input Sheet'!R817</f>
        <v>0</v>
      </c>
      <c r="F1208" s="1131">
        <v>0</v>
      </c>
      <c r="G1208" s="333">
        <v>0</v>
      </c>
    </row>
    <row r="1209" spans="1:7" x14ac:dyDescent="0.2">
      <c r="A1209" s="332">
        <v>53063</v>
      </c>
      <c r="B1209" s="321" t="s">
        <v>1911</v>
      </c>
      <c r="C1209" s="1098"/>
      <c r="D1209" s="1098">
        <f>'[15]Input Sheet'!Q818</f>
        <v>0</v>
      </c>
      <c r="E1209" s="1098">
        <f>'[15]Input Sheet'!R818</f>
        <v>0</v>
      </c>
      <c r="F1209" s="1131">
        <v>0</v>
      </c>
      <c r="G1209" s="333">
        <v>0</v>
      </c>
    </row>
    <row r="1210" spans="1:7" x14ac:dyDescent="0.2">
      <c r="A1210" s="332">
        <v>53064</v>
      </c>
      <c r="B1210" s="321" t="s">
        <v>1912</v>
      </c>
      <c r="C1210" s="1098"/>
      <c r="D1210" s="1098">
        <f>'[15]Input Sheet'!Q819</f>
        <v>0</v>
      </c>
      <c r="E1210" s="1098">
        <f>'[15]Input Sheet'!R819</f>
        <v>0</v>
      </c>
      <c r="F1210" s="1131">
        <v>0</v>
      </c>
      <c r="G1210" s="333">
        <v>0</v>
      </c>
    </row>
    <row r="1211" spans="1:7" x14ac:dyDescent="0.2">
      <c r="A1211" s="332">
        <v>53065</v>
      </c>
      <c r="B1211" s="321" t="s">
        <v>1913</v>
      </c>
      <c r="C1211" s="1098"/>
      <c r="D1211" s="1098">
        <f>'[15]Input Sheet'!Q820</f>
        <v>0</v>
      </c>
      <c r="E1211" s="1098">
        <f>'[15]Input Sheet'!R820</f>
        <v>0</v>
      </c>
      <c r="F1211" s="1131">
        <v>0</v>
      </c>
      <c r="G1211" s="333">
        <v>0</v>
      </c>
    </row>
    <row r="1212" spans="1:7" x14ac:dyDescent="0.2">
      <c r="A1212" s="332">
        <v>53066</v>
      </c>
      <c r="B1212" s="321" t="s">
        <v>1914</v>
      </c>
      <c r="C1212" s="1098"/>
      <c r="D1212" s="1098">
        <f>'[15]Input Sheet'!Q821</f>
        <v>0</v>
      </c>
      <c r="E1212" s="1098">
        <f>'[15]Input Sheet'!R821</f>
        <v>0</v>
      </c>
      <c r="F1212" s="1131">
        <v>0</v>
      </c>
      <c r="G1212" s="333">
        <v>0</v>
      </c>
    </row>
    <row r="1213" spans="1:7" x14ac:dyDescent="0.2">
      <c r="A1213" s="332">
        <v>53067</v>
      </c>
      <c r="B1213" s="321" t="s">
        <v>1915</v>
      </c>
      <c r="C1213" s="1098"/>
      <c r="D1213" s="1098">
        <f>'[15]Input Sheet'!Q822</f>
        <v>0</v>
      </c>
      <c r="E1213" s="1098">
        <f>'[15]Input Sheet'!R822</f>
        <v>0</v>
      </c>
      <c r="F1213" s="1131">
        <v>0</v>
      </c>
      <c r="G1213" s="333">
        <v>0</v>
      </c>
    </row>
    <row r="1214" spans="1:7" x14ac:dyDescent="0.2">
      <c r="A1214" s="332">
        <v>53068</v>
      </c>
      <c r="B1214" s="321" t="s">
        <v>1916</v>
      </c>
      <c r="C1214" s="1098"/>
      <c r="D1214" s="1098">
        <f>'[15]Input Sheet'!Q823</f>
        <v>0</v>
      </c>
      <c r="E1214" s="1098">
        <f>'[15]Input Sheet'!R823</f>
        <v>0</v>
      </c>
      <c r="F1214" s="1131">
        <v>0</v>
      </c>
      <c r="G1214" s="333">
        <v>0</v>
      </c>
    </row>
    <row r="1215" spans="1:7" x14ac:dyDescent="0.2">
      <c r="A1215" s="332">
        <v>53069</v>
      </c>
      <c r="B1215" s="321" t="s">
        <v>1917</v>
      </c>
      <c r="C1215" s="1098"/>
      <c r="D1215" s="1098">
        <f>'[15]Input Sheet'!Q824</f>
        <v>0</v>
      </c>
      <c r="E1215" s="1098">
        <f>'[15]Input Sheet'!R824</f>
        <v>0</v>
      </c>
      <c r="F1215" s="1131">
        <v>0</v>
      </c>
      <c r="G1215" s="333">
        <v>0</v>
      </c>
    </row>
    <row r="1216" spans="1:7" x14ac:dyDescent="0.2">
      <c r="A1216" s="332">
        <v>53070</v>
      </c>
      <c r="B1216" s="321" t="s">
        <v>1918</v>
      </c>
      <c r="C1216" s="1098"/>
      <c r="D1216" s="1098">
        <f>'[15]Input Sheet'!Q825</f>
        <v>0</v>
      </c>
      <c r="E1216" s="1098">
        <f>'[15]Input Sheet'!R825</f>
        <v>0</v>
      </c>
      <c r="F1216" s="1131">
        <v>0</v>
      </c>
      <c r="G1216" s="333">
        <v>0</v>
      </c>
    </row>
    <row r="1217" spans="1:7" x14ac:dyDescent="0.2">
      <c r="A1217" s="332">
        <v>53071</v>
      </c>
      <c r="B1217" s="431" t="s">
        <v>1919</v>
      </c>
      <c r="C1217" s="1172"/>
      <c r="D1217" s="1098">
        <f>'[15]Input Sheet'!Q826</f>
        <v>0</v>
      </c>
      <c r="E1217" s="1098">
        <f>'[15]Input Sheet'!R826</f>
        <v>409.31060500000001</v>
      </c>
      <c r="F1217" s="1131">
        <v>408.33225449999998</v>
      </c>
      <c r="G1217" s="333">
        <v>334.15589749999998</v>
      </c>
    </row>
    <row r="1218" spans="1:7" x14ac:dyDescent="0.2">
      <c r="A1218" s="332">
        <v>53072</v>
      </c>
      <c r="B1218" s="431" t="s">
        <v>1920</v>
      </c>
      <c r="C1218" s="1172"/>
      <c r="D1218" s="1098">
        <f>'[15]Input Sheet'!Q827</f>
        <v>0</v>
      </c>
      <c r="E1218" s="1098">
        <f>'[15]Input Sheet'!R827</f>
        <v>1887.1727430999999</v>
      </c>
      <c r="F1218" s="1131">
        <v>2000</v>
      </c>
      <c r="G1218" s="333">
        <v>500</v>
      </c>
    </row>
    <row r="1219" spans="1:7" x14ac:dyDescent="0.2">
      <c r="A1219" s="332">
        <f>'[15]Input Sheet'!D828</f>
        <v>53073</v>
      </c>
      <c r="B1219" s="431" t="str">
        <f>'[15]Input Sheet'!E828</f>
        <v>PFC LTL-21540002 (Project-Gare Palma)</v>
      </c>
      <c r="C1219" s="1172"/>
      <c r="D1219" s="1098">
        <f>'[15]Input Sheet'!Q828</f>
        <v>0</v>
      </c>
      <c r="E1219" s="1098">
        <f>'[15]Input Sheet'!R828</f>
        <v>180</v>
      </c>
      <c r="F1219" s="1131">
        <v>75</v>
      </c>
    </row>
    <row r="1220" spans="1:7" x14ac:dyDescent="0.2">
      <c r="A1220" s="332">
        <f>'[15]Input Sheet'!D829</f>
        <v>53074</v>
      </c>
      <c r="B1220" s="431" t="str">
        <f>'[15]Input Sheet'!E829</f>
        <v>PFC LTL-21504090 (Capex-Bhusawal TPS)</v>
      </c>
      <c r="C1220" s="1173"/>
      <c r="D1220" s="1098">
        <f>'[15]Input Sheet'!Q829</f>
        <v>0</v>
      </c>
      <c r="E1220" s="1098">
        <f>'[15]Input Sheet'!R829</f>
        <v>2.3513516000000001</v>
      </c>
      <c r="F1220" s="1131">
        <v>1.2243516999999999</v>
      </c>
    </row>
    <row r="1221" spans="1:7" x14ac:dyDescent="0.2">
      <c r="A1221" s="332">
        <f>'[15]Input Sheet'!D830</f>
        <v>53075</v>
      </c>
      <c r="B1221" s="431" t="str">
        <f>'[15]Input Sheet'!E830</f>
        <v>PFC LTL-21504091 (Capex-Nasik TPS)</v>
      </c>
      <c r="C1221" s="1173"/>
      <c r="D1221" s="1098">
        <f>'[15]Input Sheet'!Q830</f>
        <v>0</v>
      </c>
      <c r="E1221" s="1098">
        <f>'[15]Input Sheet'!R830</f>
        <v>1.7411399000000001</v>
      </c>
      <c r="F1221" s="1131">
        <v>1.1248910000000001</v>
      </c>
    </row>
    <row r="1222" spans="1:7" x14ac:dyDescent="0.2">
      <c r="A1222" s="332">
        <v>53076</v>
      </c>
      <c r="B1222" s="431" t="s">
        <v>1921</v>
      </c>
      <c r="C1222" s="1173"/>
      <c r="D1222" s="1173">
        <f>'[15]Input Sheet'!Q831</f>
        <v>0</v>
      </c>
      <c r="E1222" s="1173">
        <f>'[15]Input Sheet'!R831</f>
        <v>4.4467920000000003</v>
      </c>
    </row>
    <row r="1223" spans="1:7" x14ac:dyDescent="0.2">
      <c r="A1223" s="332">
        <v>53077</v>
      </c>
      <c r="B1223" s="431" t="s">
        <v>1922</v>
      </c>
      <c r="C1223" s="1173"/>
      <c r="D1223" s="1173">
        <f>'[15]Input Sheet'!Q832</f>
        <v>0</v>
      </c>
      <c r="E1223" s="1173">
        <f>'[15]Input Sheet'!R832</f>
        <v>10.65</v>
      </c>
    </row>
    <row r="1224" spans="1:7" x14ac:dyDescent="0.2">
      <c r="A1224" s="332">
        <f>'[15]Input Sheet'!D833</f>
        <v>53081</v>
      </c>
      <c r="B1224" s="431" t="str">
        <f>'[15]Input Sheet'!E833</f>
        <v>PFC LTL-21504097 (Capex-Pune REC circle</v>
      </c>
      <c r="C1224" s="1173"/>
      <c r="D1224" s="1173">
        <f>'[15]Input Sheet'!Q833</f>
        <v>0</v>
      </c>
      <c r="E1224" s="1173">
        <f>'[15]Input Sheet'!R833</f>
        <v>4.6243607000000004</v>
      </c>
      <c r="F1224" s="1131">
        <v>0.2466449</v>
      </c>
    </row>
    <row r="1225" spans="1:7" x14ac:dyDescent="0.2">
      <c r="A1225" s="332">
        <v>53082</v>
      </c>
      <c r="B1225" s="431" t="s">
        <v>1923</v>
      </c>
      <c r="C1225" s="1173"/>
      <c r="D1225" s="1173">
        <f>'[15]Input Sheet'!Q834</f>
        <v>0</v>
      </c>
      <c r="E1225" s="1173">
        <f>'[15]Input Sheet'!R834</f>
        <v>17.0366766</v>
      </c>
    </row>
    <row r="1226" spans="1:7" x14ac:dyDescent="0.2">
      <c r="A1226" s="332">
        <v>53083</v>
      </c>
      <c r="B1226" s="431" t="s">
        <v>1924</v>
      </c>
      <c r="C1226" s="1173"/>
      <c r="D1226" s="1173">
        <f>'[15]Input Sheet'!Q835</f>
        <v>0</v>
      </c>
      <c r="E1226" s="1173">
        <f>'[15]Input Sheet'!R835</f>
        <v>12.8103008</v>
      </c>
    </row>
    <row r="1227" spans="1:7" x14ac:dyDescent="0.2">
      <c r="A1227" s="332">
        <v>53084</v>
      </c>
      <c r="B1227" s="431" t="s">
        <v>1925</v>
      </c>
      <c r="C1227" s="1173"/>
      <c r="D1227" s="1173">
        <f>'[15]Input Sheet'!Q836</f>
        <v>0</v>
      </c>
      <c r="E1227" s="1173">
        <f>'[15]Input Sheet'!R836</f>
        <v>41.024519300000001</v>
      </c>
    </row>
    <row r="1228" spans="1:7" x14ac:dyDescent="0.2">
      <c r="C1228" s="1098"/>
      <c r="D1228" s="1174">
        <f>SUM(D1147:D1227)</f>
        <v>0</v>
      </c>
      <c r="E1228" s="1174">
        <f>SUM(E1147:E1227)</f>
        <v>9343.7545258000009</v>
      </c>
      <c r="F1228" s="1175">
        <f t="shared" ref="F1228:G1228" si="0">SUM(F1147:F1227)</f>
        <v>10286.862865399999</v>
      </c>
      <c r="G1228" s="1176">
        <f t="shared" si="0"/>
        <v>9522.3893246999996</v>
      </c>
    </row>
    <row r="1229" spans="1:7" x14ac:dyDescent="0.2">
      <c r="B1229" s="430" t="s">
        <v>1926</v>
      </c>
      <c r="C1229" s="1134"/>
      <c r="D1229" s="1098"/>
    </row>
    <row r="1230" spans="1:7" x14ac:dyDescent="0.2">
      <c r="A1230" s="332">
        <v>53501</v>
      </c>
      <c r="B1230" s="321" t="s">
        <v>1927</v>
      </c>
      <c r="C1230" s="1098"/>
      <c r="D1230" s="1098">
        <f>'[15]Input Sheet'!Q965</f>
        <v>0</v>
      </c>
      <c r="E1230" s="1098">
        <f>'[15]Input Sheet'!R965</f>
        <v>0</v>
      </c>
      <c r="F1230" s="1131">
        <v>0</v>
      </c>
      <c r="G1230" s="333">
        <v>0</v>
      </c>
    </row>
    <row r="1231" spans="1:7" x14ac:dyDescent="0.2">
      <c r="A1231" s="332">
        <v>53502</v>
      </c>
      <c r="B1231" s="321" t="s">
        <v>1928</v>
      </c>
      <c r="C1231" s="1098"/>
      <c r="D1231" s="1098">
        <f>'[15]Input Sheet'!Q966</f>
        <v>0</v>
      </c>
      <c r="E1231" s="1098">
        <f>'[15]Input Sheet'!R966</f>
        <v>0</v>
      </c>
      <c r="F1231" s="1131">
        <v>0</v>
      </c>
      <c r="G1231" s="333">
        <v>0</v>
      </c>
    </row>
    <row r="1232" spans="1:7" x14ac:dyDescent="0.2">
      <c r="A1232" s="332">
        <v>53503</v>
      </c>
      <c r="B1232" s="321" t="s">
        <v>1929</v>
      </c>
      <c r="C1232" s="1098"/>
      <c r="D1232" s="1098">
        <f>'[15]Input Sheet'!Q967</f>
        <v>0</v>
      </c>
      <c r="E1232" s="1098">
        <f>'[15]Input Sheet'!R967</f>
        <v>0</v>
      </c>
      <c r="F1232" s="1131">
        <v>0</v>
      </c>
      <c r="G1232" s="333">
        <v>0</v>
      </c>
    </row>
    <row r="1233" spans="1:7" x14ac:dyDescent="0.2">
      <c r="A1233" s="332">
        <v>53504</v>
      </c>
      <c r="B1233" s="321" t="s">
        <v>1850</v>
      </c>
      <c r="C1233" s="1098"/>
      <c r="D1233" s="1098">
        <f>'[15]Input Sheet'!Q968</f>
        <v>0</v>
      </c>
      <c r="E1233" s="1098">
        <f>'[15]Input Sheet'!R968</f>
        <v>0</v>
      </c>
      <c r="F1233" s="1131">
        <v>0</v>
      </c>
      <c r="G1233" s="333">
        <v>0</v>
      </c>
    </row>
    <row r="1234" spans="1:7" x14ac:dyDescent="0.2">
      <c r="A1234" s="332">
        <v>53505</v>
      </c>
      <c r="B1234" s="321" t="s">
        <v>1930</v>
      </c>
      <c r="C1234" s="1098"/>
      <c r="D1234" s="1098">
        <f>'[15]Input Sheet'!Q969</f>
        <v>0</v>
      </c>
      <c r="E1234" s="1098">
        <f>'[15]Input Sheet'!R969</f>
        <v>0</v>
      </c>
      <c r="F1234" s="1131">
        <v>0</v>
      </c>
      <c r="G1234" s="333">
        <v>0</v>
      </c>
    </row>
    <row r="1235" spans="1:7" x14ac:dyDescent="0.2">
      <c r="A1235" s="332">
        <v>53506</v>
      </c>
      <c r="B1235" s="321" t="s">
        <v>1931</v>
      </c>
      <c r="C1235" s="1098"/>
      <c r="D1235" s="1098">
        <f>'[15]Input Sheet'!Q970</f>
        <v>0</v>
      </c>
      <c r="E1235" s="1098">
        <f>'[15]Input Sheet'!R970</f>
        <v>0</v>
      </c>
      <c r="F1235" s="1131">
        <v>0</v>
      </c>
      <c r="G1235" s="333">
        <v>0</v>
      </c>
    </row>
    <row r="1236" spans="1:7" x14ac:dyDescent="0.2">
      <c r="A1236" s="332">
        <v>53507</v>
      </c>
      <c r="B1236" s="321" t="s">
        <v>1932</v>
      </c>
      <c r="C1236" s="1098"/>
      <c r="D1236" s="1098">
        <f>'[15]Input Sheet'!Q971</f>
        <v>0</v>
      </c>
      <c r="E1236" s="1098">
        <f>'[15]Input Sheet'!R971</f>
        <v>0</v>
      </c>
      <c r="F1236" s="1131">
        <v>0</v>
      </c>
      <c r="G1236" s="333">
        <v>0</v>
      </c>
    </row>
    <row r="1237" spans="1:7" x14ac:dyDescent="0.2">
      <c r="A1237" s="332">
        <v>53508</v>
      </c>
      <c r="B1237" s="321" t="s">
        <v>1933</v>
      </c>
      <c r="C1237" s="1098"/>
      <c r="D1237" s="1098">
        <f>'[15]Input Sheet'!Q972</f>
        <v>0</v>
      </c>
      <c r="E1237" s="1098">
        <f>'[15]Input Sheet'!R972</f>
        <v>0</v>
      </c>
      <c r="F1237" s="1131">
        <v>0</v>
      </c>
      <c r="G1237" s="333">
        <v>0</v>
      </c>
    </row>
    <row r="1238" spans="1:7" x14ac:dyDescent="0.2">
      <c r="A1238" s="332">
        <v>53509</v>
      </c>
      <c r="B1238" s="321" t="s">
        <v>1934</v>
      </c>
      <c r="C1238" s="1098"/>
      <c r="D1238" s="1098">
        <f>'[15]Input Sheet'!Q973</f>
        <v>0</v>
      </c>
      <c r="E1238" s="1098">
        <f>'[15]Input Sheet'!R973</f>
        <v>0</v>
      </c>
      <c r="F1238" s="1131">
        <v>0</v>
      </c>
      <c r="G1238" s="333">
        <v>0</v>
      </c>
    </row>
    <row r="1239" spans="1:7" x14ac:dyDescent="0.2">
      <c r="A1239" s="332">
        <v>53510</v>
      </c>
      <c r="B1239" s="321" t="s">
        <v>1935</v>
      </c>
      <c r="C1239" s="1098"/>
      <c r="D1239" s="1098">
        <f>'[15]Input Sheet'!Q974</f>
        <v>0</v>
      </c>
      <c r="E1239" s="1098">
        <f>'[15]Input Sheet'!R974</f>
        <v>0</v>
      </c>
      <c r="F1239" s="1131">
        <v>0</v>
      </c>
      <c r="G1239" s="333">
        <v>0</v>
      </c>
    </row>
    <row r="1240" spans="1:7" x14ac:dyDescent="0.2">
      <c r="A1240" s="332">
        <v>53511</v>
      </c>
      <c r="B1240" s="321" t="s">
        <v>1936</v>
      </c>
      <c r="C1240" s="1098"/>
      <c r="D1240" s="1098">
        <f>'[15]Input Sheet'!Q975</f>
        <v>0</v>
      </c>
      <c r="E1240" s="1098">
        <f>'[15]Input Sheet'!R975</f>
        <v>0</v>
      </c>
      <c r="F1240" s="1131">
        <v>0</v>
      </c>
      <c r="G1240" s="333">
        <v>0</v>
      </c>
    </row>
    <row r="1241" spans="1:7" x14ac:dyDescent="0.2">
      <c r="A1241" s="332">
        <v>53512</v>
      </c>
      <c r="B1241" s="321" t="s">
        <v>1937</v>
      </c>
      <c r="C1241" s="1098"/>
      <c r="D1241" s="1098">
        <f>'[15]Input Sheet'!Q976</f>
        <v>0</v>
      </c>
      <c r="E1241" s="1098">
        <f>'[15]Input Sheet'!R976</f>
        <v>0</v>
      </c>
      <c r="F1241" s="1131">
        <v>0</v>
      </c>
      <c r="G1241" s="333">
        <v>0</v>
      </c>
    </row>
    <row r="1242" spans="1:7" x14ac:dyDescent="0.2">
      <c r="A1242" s="332">
        <v>53513</v>
      </c>
      <c r="B1242" s="321" t="s">
        <v>1938</v>
      </c>
      <c r="C1242" s="1098"/>
      <c r="D1242" s="1098">
        <f>'[15]Input Sheet'!Q977</f>
        <v>0</v>
      </c>
      <c r="E1242" s="1098">
        <f>'[15]Input Sheet'!R977</f>
        <v>0</v>
      </c>
      <c r="F1242" s="1131">
        <v>0</v>
      </c>
      <c r="G1242" s="333">
        <v>0</v>
      </c>
    </row>
    <row r="1243" spans="1:7" x14ac:dyDescent="0.2">
      <c r="A1243" s="332">
        <v>53514</v>
      </c>
      <c r="B1243" s="321" t="s">
        <v>1939</v>
      </c>
      <c r="C1243" s="1098"/>
      <c r="D1243" s="1098">
        <f>'[15]Input Sheet'!Q978</f>
        <v>0</v>
      </c>
      <c r="E1243" s="1098">
        <f>'[15]Input Sheet'!R978</f>
        <v>0</v>
      </c>
      <c r="F1243" s="1131">
        <v>0</v>
      </c>
      <c r="G1243" s="333">
        <v>0</v>
      </c>
    </row>
    <row r="1244" spans="1:7" x14ac:dyDescent="0.2">
      <c r="A1244" s="332">
        <v>53515</v>
      </c>
      <c r="B1244" s="321" t="s">
        <v>1940</v>
      </c>
      <c r="C1244" s="1098"/>
      <c r="D1244" s="1098">
        <f>'[15]Input Sheet'!Q979</f>
        <v>0</v>
      </c>
      <c r="E1244" s="1098">
        <f>'[15]Input Sheet'!R979</f>
        <v>0</v>
      </c>
      <c r="F1244" s="1131">
        <v>0</v>
      </c>
      <c r="G1244" s="333">
        <v>0</v>
      </c>
    </row>
    <row r="1245" spans="1:7" x14ac:dyDescent="0.2">
      <c r="A1245" s="332">
        <v>53516</v>
      </c>
      <c r="B1245" s="321" t="s">
        <v>1941</v>
      </c>
      <c r="C1245" s="1098"/>
      <c r="D1245" s="1098">
        <f>'[15]Input Sheet'!Q980</f>
        <v>0</v>
      </c>
      <c r="E1245" s="1098">
        <f>'[15]Input Sheet'!R980</f>
        <v>0</v>
      </c>
      <c r="F1245" s="1131">
        <v>0</v>
      </c>
      <c r="G1245" s="333">
        <v>0</v>
      </c>
    </row>
    <row r="1246" spans="1:7" x14ac:dyDescent="0.2">
      <c r="A1246" s="332">
        <v>53517</v>
      </c>
      <c r="B1246" s="321" t="s">
        <v>1942</v>
      </c>
      <c r="C1246" s="1098"/>
      <c r="D1246" s="1098">
        <f>'[15]Input Sheet'!Q981</f>
        <v>0</v>
      </c>
      <c r="E1246" s="1098">
        <f>'[15]Input Sheet'!R981</f>
        <v>0</v>
      </c>
      <c r="F1246" s="1131">
        <v>0</v>
      </c>
      <c r="G1246" s="333">
        <v>0</v>
      </c>
    </row>
    <row r="1247" spans="1:7" x14ac:dyDescent="0.2">
      <c r="A1247" s="332">
        <v>53518</v>
      </c>
      <c r="B1247" s="321" t="s">
        <v>1943</v>
      </c>
      <c r="C1247" s="1098"/>
      <c r="D1247" s="1098">
        <f>'[15]Input Sheet'!Q982</f>
        <v>0</v>
      </c>
      <c r="E1247" s="1098">
        <f>'[15]Input Sheet'!R982</f>
        <v>0</v>
      </c>
      <c r="F1247" s="1131">
        <v>0</v>
      </c>
      <c r="G1247" s="333">
        <v>0</v>
      </c>
    </row>
    <row r="1248" spans="1:7" x14ac:dyDescent="0.2">
      <c r="A1248" s="332">
        <v>53519</v>
      </c>
      <c r="B1248" s="321" t="s">
        <v>1944</v>
      </c>
      <c r="C1248" s="1098"/>
      <c r="D1248" s="1098">
        <f>'[15]Input Sheet'!Q983</f>
        <v>0</v>
      </c>
      <c r="E1248" s="1098">
        <f>'[15]Input Sheet'!R983</f>
        <v>0</v>
      </c>
      <c r="F1248" s="1131">
        <v>0</v>
      </c>
      <c r="G1248" s="333">
        <v>0</v>
      </c>
    </row>
    <row r="1249" spans="1:7" x14ac:dyDescent="0.2">
      <c r="A1249" s="332">
        <v>53520</v>
      </c>
      <c r="B1249" s="321" t="s">
        <v>1945</v>
      </c>
      <c r="C1249" s="1098"/>
      <c r="D1249" s="1098">
        <f>'[15]Input Sheet'!Q984</f>
        <v>0</v>
      </c>
      <c r="E1249" s="1098">
        <f>'[15]Input Sheet'!R984</f>
        <v>0</v>
      </c>
      <c r="F1249" s="1131">
        <v>0</v>
      </c>
      <c r="G1249" s="333">
        <v>0</v>
      </c>
    </row>
    <row r="1250" spans="1:7" x14ac:dyDescent="0.2">
      <c r="A1250" s="332">
        <v>53521</v>
      </c>
      <c r="B1250" s="321" t="s">
        <v>1946</v>
      </c>
      <c r="C1250" s="1098"/>
      <c r="D1250" s="1098">
        <f>'[15]Input Sheet'!Q985</f>
        <v>0</v>
      </c>
      <c r="E1250" s="1098">
        <f>'[15]Input Sheet'!R985</f>
        <v>0</v>
      </c>
      <c r="F1250" s="1131">
        <v>0</v>
      </c>
      <c r="G1250" s="333">
        <v>0</v>
      </c>
    </row>
    <row r="1251" spans="1:7" x14ac:dyDescent="0.2">
      <c r="A1251" s="332">
        <v>53522</v>
      </c>
      <c r="B1251" s="321" t="s">
        <v>1947</v>
      </c>
      <c r="C1251" s="1098"/>
      <c r="D1251" s="1098">
        <f>'[15]Input Sheet'!Q986</f>
        <v>0</v>
      </c>
      <c r="E1251" s="1098">
        <f>'[15]Input Sheet'!R986</f>
        <v>0</v>
      </c>
      <c r="F1251" s="1131">
        <v>0</v>
      </c>
      <c r="G1251" s="333">
        <v>0</v>
      </c>
    </row>
    <row r="1252" spans="1:7" x14ac:dyDescent="0.2">
      <c r="A1252" s="332">
        <v>53523</v>
      </c>
      <c r="B1252" s="321" t="s">
        <v>1948</v>
      </c>
      <c r="C1252" s="1098"/>
      <c r="D1252" s="1098">
        <f>'[15]Input Sheet'!Q987</f>
        <v>0</v>
      </c>
      <c r="E1252" s="1098">
        <f>'[15]Input Sheet'!R987</f>
        <v>0</v>
      </c>
      <c r="F1252" s="1131">
        <v>0</v>
      </c>
      <c r="G1252" s="333">
        <v>0</v>
      </c>
    </row>
    <row r="1253" spans="1:7" x14ac:dyDescent="0.2">
      <c r="A1253" s="332">
        <v>53524</v>
      </c>
      <c r="B1253" s="321" t="s">
        <v>1949</v>
      </c>
      <c r="C1253" s="1098"/>
      <c r="D1253" s="1098">
        <f>'[15]Input Sheet'!Q988</f>
        <v>0</v>
      </c>
      <c r="E1253" s="1098">
        <f>'[15]Input Sheet'!R988</f>
        <v>0</v>
      </c>
      <c r="F1253" s="1131">
        <v>0</v>
      </c>
      <c r="G1253" s="333">
        <v>0</v>
      </c>
    </row>
    <row r="1254" spans="1:7" x14ac:dyDescent="0.2">
      <c r="A1254" s="332">
        <v>53525</v>
      </c>
      <c r="B1254" s="321" t="s">
        <v>1950</v>
      </c>
      <c r="C1254" s="1098"/>
      <c r="D1254" s="1098">
        <f>'[15]Input Sheet'!Q989</f>
        <v>0</v>
      </c>
      <c r="E1254" s="1098">
        <f>'[15]Input Sheet'!R989</f>
        <v>0</v>
      </c>
      <c r="F1254" s="1131">
        <v>0</v>
      </c>
      <c r="G1254" s="333">
        <v>0</v>
      </c>
    </row>
    <row r="1255" spans="1:7" x14ac:dyDescent="0.2">
      <c r="A1255" s="332">
        <v>53526</v>
      </c>
      <c r="B1255" s="321" t="s">
        <v>1951</v>
      </c>
      <c r="C1255" s="1098"/>
      <c r="D1255" s="1098">
        <f>'[15]Input Sheet'!Q990</f>
        <v>0</v>
      </c>
      <c r="E1255" s="1098">
        <f>'[15]Input Sheet'!R990</f>
        <v>0</v>
      </c>
      <c r="F1255" s="1131">
        <v>0</v>
      </c>
      <c r="G1255" s="333">
        <v>0</v>
      </c>
    </row>
    <row r="1256" spans="1:7" x14ac:dyDescent="0.2">
      <c r="A1256" s="332">
        <v>53527</v>
      </c>
      <c r="B1256" s="321" t="s">
        <v>1952</v>
      </c>
      <c r="C1256" s="1098"/>
      <c r="D1256" s="1098">
        <f>'[15]Input Sheet'!Q991</f>
        <v>0</v>
      </c>
      <c r="E1256" s="1098">
        <f>'[15]Input Sheet'!R991</f>
        <v>0</v>
      </c>
      <c r="F1256" s="1131">
        <v>0</v>
      </c>
      <c r="G1256" s="333">
        <v>0</v>
      </c>
    </row>
    <row r="1257" spans="1:7" x14ac:dyDescent="0.2">
      <c r="A1257" s="332">
        <v>53528</v>
      </c>
      <c r="B1257" s="321" t="s">
        <v>1953</v>
      </c>
      <c r="C1257" s="1098"/>
      <c r="D1257" s="1098">
        <f>'[15]Input Sheet'!Q992</f>
        <v>0</v>
      </c>
      <c r="E1257" s="1098">
        <f>'[15]Input Sheet'!R992</f>
        <v>0</v>
      </c>
      <c r="F1257" s="1131">
        <v>0</v>
      </c>
      <c r="G1257" s="333">
        <v>0</v>
      </c>
    </row>
    <row r="1258" spans="1:7" x14ac:dyDescent="0.2">
      <c r="A1258" s="332">
        <v>53529</v>
      </c>
      <c r="B1258" s="321" t="s">
        <v>1954</v>
      </c>
      <c r="C1258" s="1098"/>
      <c r="D1258" s="1098">
        <f>'[15]Input Sheet'!Q993</f>
        <v>0</v>
      </c>
      <c r="E1258" s="1098">
        <f>'[15]Input Sheet'!R993</f>
        <v>0</v>
      </c>
      <c r="F1258" s="1131">
        <v>0</v>
      </c>
      <c r="G1258" s="333">
        <v>0</v>
      </c>
    </row>
    <row r="1259" spans="1:7" x14ac:dyDescent="0.2">
      <c r="A1259" s="332">
        <v>53530</v>
      </c>
      <c r="B1259" s="321" t="s">
        <v>1955</v>
      </c>
      <c r="C1259" s="1098"/>
      <c r="D1259" s="1098">
        <f>'[15]Input Sheet'!Q994</f>
        <v>0</v>
      </c>
      <c r="E1259" s="1098">
        <f>'[15]Input Sheet'!R994</f>
        <v>0</v>
      </c>
      <c r="F1259" s="1131">
        <v>0</v>
      </c>
      <c r="G1259" s="333">
        <v>0</v>
      </c>
    </row>
    <row r="1260" spans="1:7" x14ac:dyDescent="0.2">
      <c r="A1260" s="332">
        <v>53531</v>
      </c>
      <c r="B1260" s="321" t="s">
        <v>1956</v>
      </c>
      <c r="C1260" s="1098"/>
      <c r="D1260" s="1098">
        <f>'[15]Input Sheet'!Q995</f>
        <v>0</v>
      </c>
      <c r="E1260" s="1098">
        <f>'[15]Input Sheet'!R995</f>
        <v>0</v>
      </c>
      <c r="F1260" s="1131">
        <v>0</v>
      </c>
      <c r="G1260" s="333">
        <v>0</v>
      </c>
    </row>
    <row r="1261" spans="1:7" x14ac:dyDescent="0.2">
      <c r="A1261" s="332">
        <v>53532</v>
      </c>
      <c r="B1261" s="321" t="s">
        <v>1957</v>
      </c>
      <c r="C1261" s="1098"/>
      <c r="D1261" s="1098">
        <f>'[15]Input Sheet'!Q996</f>
        <v>0</v>
      </c>
      <c r="E1261" s="1098">
        <f>'[15]Input Sheet'!R996</f>
        <v>0</v>
      </c>
      <c r="F1261" s="1131">
        <v>0</v>
      </c>
      <c r="G1261" s="333">
        <v>0</v>
      </c>
    </row>
    <row r="1262" spans="1:7" x14ac:dyDescent="0.2">
      <c r="A1262" s="332">
        <v>53533</v>
      </c>
      <c r="B1262" s="321" t="s">
        <v>1958</v>
      </c>
      <c r="C1262" s="1098"/>
      <c r="D1262" s="1098">
        <f>'[15]Input Sheet'!Q997</f>
        <v>0</v>
      </c>
      <c r="E1262" s="1098">
        <f>'[15]Input Sheet'!R997</f>
        <v>0</v>
      </c>
      <c r="F1262" s="1131">
        <v>0</v>
      </c>
      <c r="G1262" s="333">
        <v>0</v>
      </c>
    </row>
    <row r="1263" spans="1:7" x14ac:dyDescent="0.2">
      <c r="A1263" s="332">
        <v>53534</v>
      </c>
      <c r="B1263" s="321" t="s">
        <v>1959</v>
      </c>
      <c r="C1263" s="1098"/>
      <c r="D1263" s="1098">
        <f>'[15]Input Sheet'!Q998</f>
        <v>0</v>
      </c>
      <c r="E1263" s="1098">
        <f>'[15]Input Sheet'!R998</f>
        <v>0</v>
      </c>
      <c r="F1263" s="1131">
        <v>0</v>
      </c>
      <c r="G1263" s="333">
        <v>0</v>
      </c>
    </row>
    <row r="1264" spans="1:7" x14ac:dyDescent="0.2">
      <c r="B1264" s="430" t="s">
        <v>92</v>
      </c>
      <c r="C1264" s="1134"/>
      <c r="D1264" s="1175">
        <f>SUM(D1230:D1263)</f>
        <v>0</v>
      </c>
      <c r="E1264" s="1174">
        <f>SUM(E1230:E1263)</f>
        <v>0</v>
      </c>
      <c r="F1264" s="1175">
        <f>SUM(F1230:F1263)</f>
        <v>0</v>
      </c>
      <c r="G1264" s="1176">
        <f>SUM(G1230:G1263)</f>
        <v>0</v>
      </c>
    </row>
    <row r="1265" spans="1:7" x14ac:dyDescent="0.2">
      <c r="C1265" s="1098"/>
      <c r="D1265" s="1098"/>
    </row>
    <row r="1266" spans="1:7" x14ac:dyDescent="0.2">
      <c r="C1266" s="1098"/>
      <c r="D1266" s="1098"/>
    </row>
    <row r="1267" spans="1:7" x14ac:dyDescent="0.2">
      <c r="A1267" s="332">
        <v>53301</v>
      </c>
      <c r="B1267" s="321" t="s">
        <v>1960</v>
      </c>
      <c r="C1267" s="1098"/>
      <c r="D1267" s="1098">
        <f>'[15]Input Sheet'!Q837</f>
        <v>0</v>
      </c>
      <c r="E1267" s="1098">
        <f>'[15]Input Sheet'!R837</f>
        <v>1723.9663146</v>
      </c>
      <c r="F1267" s="1131">
        <v>0</v>
      </c>
      <c r="G1267" s="333">
        <v>2585.9499858999998</v>
      </c>
    </row>
    <row r="1268" spans="1:7" x14ac:dyDescent="0.2">
      <c r="A1268" s="332">
        <v>53302</v>
      </c>
      <c r="B1268" s="321" t="s">
        <v>1961</v>
      </c>
      <c r="C1268" s="1098"/>
      <c r="D1268" s="1098">
        <f>'[15]Input Sheet'!Q838</f>
        <v>0</v>
      </c>
      <c r="E1268" s="1098">
        <f>'[15]Input Sheet'!R838</f>
        <v>2919.3066730999999</v>
      </c>
      <c r="F1268" s="1131">
        <v>0</v>
      </c>
      <c r="G1268" s="333">
        <v>3853.4847924999999</v>
      </c>
    </row>
    <row r="1269" spans="1:7" x14ac:dyDescent="0.2">
      <c r="A1269" s="332">
        <v>53303</v>
      </c>
      <c r="B1269" s="321" t="s">
        <v>1962</v>
      </c>
      <c r="C1269" s="1098"/>
      <c r="D1269" s="1098">
        <f>'[15]Input Sheet'!Q839</f>
        <v>0</v>
      </c>
      <c r="E1269" s="1098">
        <f>'[15]Input Sheet'!R839</f>
        <v>821.65820010000004</v>
      </c>
      <c r="F1269" s="1131">
        <v>0</v>
      </c>
      <c r="G1269" s="333">
        <v>1095.5442734000001</v>
      </c>
    </row>
    <row r="1270" spans="1:7" x14ac:dyDescent="0.2">
      <c r="A1270" s="332">
        <v>53304</v>
      </c>
      <c r="B1270" s="321" t="s">
        <v>1963</v>
      </c>
      <c r="C1270" s="1098"/>
      <c r="D1270" s="1098">
        <f>'[15]Input Sheet'!Q840</f>
        <v>0</v>
      </c>
      <c r="E1270" s="1098">
        <f>'[15]Input Sheet'!R840</f>
        <v>5.1572978999999997</v>
      </c>
      <c r="F1270" s="1131">
        <v>0</v>
      </c>
      <c r="G1270" s="333">
        <v>5.5328011999999998</v>
      </c>
    </row>
    <row r="1271" spans="1:7" x14ac:dyDescent="0.2">
      <c r="A1271" s="332">
        <v>53305</v>
      </c>
      <c r="B1271" s="321" t="s">
        <v>1964</v>
      </c>
      <c r="C1271" s="1098"/>
      <c r="D1271" s="1098">
        <f>'[15]Input Sheet'!Q841</f>
        <v>0</v>
      </c>
      <c r="E1271" s="1098">
        <f>'[15]Input Sheet'!R841</f>
        <v>2.9200976999999999</v>
      </c>
      <c r="F1271" s="1131">
        <v>0</v>
      </c>
      <c r="G1271" s="333">
        <v>8.7602933000000007</v>
      </c>
    </row>
    <row r="1272" spans="1:7" x14ac:dyDescent="0.2">
      <c r="A1272" s="332">
        <v>53306</v>
      </c>
      <c r="B1272" s="321" t="s">
        <v>1965</v>
      </c>
      <c r="C1272" s="1098"/>
      <c r="D1272" s="1098">
        <f>'[15]Input Sheet'!Q842</f>
        <v>0</v>
      </c>
      <c r="E1272" s="1098">
        <f>'[15]Input Sheet'!R842</f>
        <v>0.58555029999999997</v>
      </c>
      <c r="F1272" s="1131">
        <v>0</v>
      </c>
      <c r="G1272" s="333">
        <v>1.7566512999999999</v>
      </c>
    </row>
    <row r="1273" spans="1:7" x14ac:dyDescent="0.2">
      <c r="A1273" s="332">
        <v>53307</v>
      </c>
      <c r="B1273" s="321" t="s">
        <v>1966</v>
      </c>
      <c r="C1273" s="1098"/>
      <c r="D1273" s="1098">
        <f>'[15]Input Sheet'!Q843</f>
        <v>0</v>
      </c>
      <c r="E1273" s="1098">
        <f>'[15]Input Sheet'!R843</f>
        <v>1.9949718999999999</v>
      </c>
      <c r="F1273" s="1131">
        <v>0</v>
      </c>
      <c r="G1273" s="333">
        <v>5.9849173000000002</v>
      </c>
    </row>
    <row r="1274" spans="1:7" x14ac:dyDescent="0.2">
      <c r="A1274" s="332">
        <v>53308</v>
      </c>
      <c r="B1274" s="321" t="s">
        <v>1967</v>
      </c>
      <c r="C1274" s="1098"/>
      <c r="D1274" s="1098">
        <f>'[15]Input Sheet'!Q844</f>
        <v>0</v>
      </c>
      <c r="E1274" s="1098">
        <f>'[15]Input Sheet'!R844</f>
        <v>0</v>
      </c>
      <c r="F1274" s="1131">
        <v>0</v>
      </c>
      <c r="G1274" s="333">
        <v>0</v>
      </c>
    </row>
    <row r="1275" spans="1:7" x14ac:dyDescent="0.2">
      <c r="A1275" s="332">
        <v>53309</v>
      </c>
      <c r="B1275" s="321" t="s">
        <v>1968</v>
      </c>
      <c r="C1275" s="1098"/>
      <c r="D1275" s="1098">
        <f>'[15]Input Sheet'!Q845</f>
        <v>0</v>
      </c>
      <c r="E1275" s="1098">
        <f>'[15]Input Sheet'!R845</f>
        <v>1.5995225</v>
      </c>
      <c r="F1275" s="1131">
        <v>0</v>
      </c>
      <c r="G1275" s="333">
        <v>4.7985683000000003</v>
      </c>
    </row>
    <row r="1276" spans="1:7" x14ac:dyDescent="0.2">
      <c r="A1276" s="332">
        <v>53310</v>
      </c>
      <c r="B1276" s="321" t="s">
        <v>1969</v>
      </c>
      <c r="C1276" s="1098"/>
      <c r="D1276" s="1098">
        <f>'[15]Input Sheet'!Q846</f>
        <v>0</v>
      </c>
      <c r="E1276" s="1098">
        <f>'[15]Input Sheet'!R846</f>
        <v>0</v>
      </c>
      <c r="F1276" s="1131">
        <v>0</v>
      </c>
      <c r="G1276" s="333">
        <v>0</v>
      </c>
    </row>
    <row r="1277" spans="1:7" x14ac:dyDescent="0.2">
      <c r="A1277" s="332">
        <v>53311</v>
      </c>
      <c r="B1277" s="321" t="s">
        <v>1970</v>
      </c>
      <c r="C1277" s="1098"/>
      <c r="D1277" s="1098">
        <f>'[15]Input Sheet'!Q847</f>
        <v>0</v>
      </c>
      <c r="E1277" s="1098">
        <f>'[15]Input Sheet'!R847</f>
        <v>0</v>
      </c>
      <c r="F1277" s="1131">
        <v>0</v>
      </c>
      <c r="G1277" s="333">
        <v>0</v>
      </c>
    </row>
    <row r="1278" spans="1:7" x14ac:dyDescent="0.2">
      <c r="A1278" s="332">
        <v>53312</v>
      </c>
      <c r="B1278" s="321" t="s">
        <v>1971</v>
      </c>
      <c r="C1278" s="1098"/>
      <c r="D1278" s="1098">
        <f>'[15]Input Sheet'!Q848</f>
        <v>0</v>
      </c>
      <c r="E1278" s="1098">
        <f>'[15]Input Sheet'!R848</f>
        <v>0.24952750000000001</v>
      </c>
      <c r="F1278" s="1131">
        <v>0</v>
      </c>
      <c r="G1278" s="333">
        <v>0.74858250000000004</v>
      </c>
    </row>
    <row r="1279" spans="1:7" x14ac:dyDescent="0.2">
      <c r="A1279" s="332">
        <v>53313</v>
      </c>
      <c r="B1279" s="321" t="s">
        <v>1972</v>
      </c>
      <c r="C1279" s="1098"/>
      <c r="D1279" s="1098">
        <f>'[15]Input Sheet'!Q849</f>
        <v>0</v>
      </c>
      <c r="E1279" s="1098">
        <f>'[15]Input Sheet'!R849</f>
        <v>733.68421020000005</v>
      </c>
      <c r="F1279" s="1131">
        <v>0</v>
      </c>
      <c r="G1279" s="333">
        <v>1157.894736</v>
      </c>
    </row>
    <row r="1280" spans="1:7" x14ac:dyDescent="0.2">
      <c r="A1280" s="332">
        <v>53314</v>
      </c>
      <c r="B1280" s="321" t="s">
        <v>1973</v>
      </c>
      <c r="C1280" s="1098"/>
      <c r="D1280" s="1098">
        <f>'[15]Input Sheet'!Q850</f>
        <v>0</v>
      </c>
      <c r="E1280" s="1098">
        <f>'[15]Input Sheet'!R850</f>
        <v>88.903182000000001</v>
      </c>
      <c r="F1280" s="1131">
        <v>0</v>
      </c>
      <c r="G1280" s="333">
        <v>100.51294249999999</v>
      </c>
    </row>
    <row r="1281" spans="1:7" x14ac:dyDescent="0.2">
      <c r="A1281" s="332">
        <v>53315</v>
      </c>
      <c r="B1281" s="321" t="s">
        <v>1974</v>
      </c>
      <c r="C1281" s="1098"/>
      <c r="D1281" s="1098">
        <f>'[15]Input Sheet'!Q851</f>
        <v>0</v>
      </c>
      <c r="E1281" s="1098">
        <f>'[15]Input Sheet'!R851</f>
        <v>10.5699144</v>
      </c>
      <c r="F1281" s="1131">
        <v>0</v>
      </c>
      <c r="G1281" s="333">
        <v>6.1194533</v>
      </c>
    </row>
    <row r="1282" spans="1:7" x14ac:dyDescent="0.2">
      <c r="A1282" s="332">
        <v>53316</v>
      </c>
      <c r="B1282" s="321" t="s">
        <v>1975</v>
      </c>
      <c r="C1282" s="1098"/>
      <c r="D1282" s="1098">
        <f>'[15]Input Sheet'!Q852</f>
        <v>0</v>
      </c>
      <c r="E1282" s="1098">
        <f>'[15]Input Sheet'!R852</f>
        <v>12.928551499999999</v>
      </c>
      <c r="F1282" s="1131">
        <v>0</v>
      </c>
      <c r="G1282" s="333">
        <v>10.2874082</v>
      </c>
    </row>
    <row r="1283" spans="1:7" x14ac:dyDescent="0.2">
      <c r="A1283" s="332">
        <v>53317</v>
      </c>
      <c r="B1283" s="321" t="s">
        <v>1976</v>
      </c>
      <c r="C1283" s="1098"/>
      <c r="D1283" s="1098">
        <f>'[15]Input Sheet'!Q853</f>
        <v>0</v>
      </c>
      <c r="E1283" s="1098">
        <f>'[15]Input Sheet'!R853</f>
        <v>7.8559745999999997</v>
      </c>
      <c r="F1283" s="1131">
        <v>0</v>
      </c>
      <c r="G1283" s="333">
        <v>8.6912649000000002</v>
      </c>
    </row>
    <row r="1284" spans="1:7" x14ac:dyDescent="0.2">
      <c r="A1284" s="332">
        <v>53318</v>
      </c>
      <c r="B1284" s="321" t="s">
        <v>1977</v>
      </c>
      <c r="C1284" s="1098"/>
      <c r="D1284" s="1098">
        <f>'[15]Input Sheet'!Q854</f>
        <v>0</v>
      </c>
      <c r="E1284" s="1098">
        <f>'[15]Input Sheet'!R854</f>
        <v>7.9278098999999997</v>
      </c>
      <c r="F1284" s="1131">
        <v>0</v>
      </c>
      <c r="G1284" s="333">
        <v>8.1948573000000007</v>
      </c>
    </row>
    <row r="1285" spans="1:7" x14ac:dyDescent="0.2">
      <c r="A1285" s="332">
        <v>53319</v>
      </c>
      <c r="B1285" s="321" t="s">
        <v>1978</v>
      </c>
      <c r="C1285" s="1098"/>
      <c r="D1285" s="1098">
        <f>'[15]Input Sheet'!Q855</f>
        <v>0</v>
      </c>
      <c r="E1285" s="1098">
        <f>'[15]Input Sheet'!R855</f>
        <v>0</v>
      </c>
      <c r="F1285" s="1131">
        <v>0</v>
      </c>
      <c r="G1285" s="333">
        <v>0</v>
      </c>
    </row>
    <row r="1286" spans="1:7" x14ac:dyDescent="0.2">
      <c r="A1286" s="332">
        <v>53320</v>
      </c>
      <c r="B1286" s="321" t="s">
        <v>1979</v>
      </c>
      <c r="C1286" s="1098"/>
      <c r="D1286" s="1098">
        <f>'[15]Input Sheet'!Q856</f>
        <v>0</v>
      </c>
      <c r="E1286" s="1098">
        <f>'[15]Input Sheet'!R856</f>
        <v>8.1686949999999996</v>
      </c>
      <c r="F1286" s="1131">
        <v>0</v>
      </c>
      <c r="G1286" s="333">
        <v>3.6301925000000002</v>
      </c>
    </row>
    <row r="1287" spans="1:7" x14ac:dyDescent="0.2">
      <c r="A1287" s="332">
        <v>53321</v>
      </c>
      <c r="B1287" s="321" t="s">
        <v>1980</v>
      </c>
      <c r="C1287" s="1098"/>
      <c r="D1287" s="1098">
        <f>'[15]Input Sheet'!Q857</f>
        <v>0</v>
      </c>
      <c r="E1287" s="1098">
        <f>'[15]Input Sheet'!R857</f>
        <v>8.6447746999999993</v>
      </c>
      <c r="F1287" s="1131">
        <v>0</v>
      </c>
      <c r="G1287" s="333">
        <v>0.4126379</v>
      </c>
    </row>
    <row r="1288" spans="1:7" x14ac:dyDescent="0.2">
      <c r="A1288" s="332">
        <v>53322</v>
      </c>
      <c r="B1288" s="321" t="s">
        <v>1981</v>
      </c>
      <c r="C1288" s="1098"/>
      <c r="D1288" s="1098">
        <f>'[15]Input Sheet'!Q858</f>
        <v>0</v>
      </c>
      <c r="E1288" s="1098">
        <f>'[15]Input Sheet'!R858</f>
        <v>26.7247898</v>
      </c>
      <c r="F1288" s="1131">
        <v>0</v>
      </c>
      <c r="G1288" s="333">
        <v>25.933032300000001</v>
      </c>
    </row>
    <row r="1289" spans="1:7" x14ac:dyDescent="0.2">
      <c r="A1289" s="332">
        <v>53323</v>
      </c>
      <c r="B1289" s="321" t="s">
        <v>1982</v>
      </c>
      <c r="C1289" s="1098"/>
      <c r="D1289" s="1098">
        <f>'[15]Input Sheet'!Q859</f>
        <v>0</v>
      </c>
      <c r="E1289" s="1098">
        <f>'[15]Input Sheet'!R859</f>
        <v>6.9500061000000004</v>
      </c>
      <c r="F1289" s="1131">
        <v>0</v>
      </c>
      <c r="G1289" s="333">
        <v>6.3705179999999997</v>
      </c>
    </row>
    <row r="1290" spans="1:7" x14ac:dyDescent="0.2">
      <c r="A1290" s="332">
        <v>53324</v>
      </c>
      <c r="B1290" s="321" t="s">
        <v>1983</v>
      </c>
      <c r="C1290" s="1098"/>
      <c r="D1290" s="1098">
        <f>'[15]Input Sheet'!Q860</f>
        <v>0</v>
      </c>
      <c r="E1290" s="1098">
        <f>'[15]Input Sheet'!R860</f>
        <v>10.065970999999999</v>
      </c>
      <c r="F1290" s="1131">
        <v>0</v>
      </c>
      <c r="G1290" s="333">
        <v>11.8357299</v>
      </c>
    </row>
    <row r="1291" spans="1:7" x14ac:dyDescent="0.2">
      <c r="A1291" s="332">
        <v>53325</v>
      </c>
      <c r="B1291" s="321" t="s">
        <v>1984</v>
      </c>
      <c r="C1291" s="1098"/>
      <c r="D1291" s="1098">
        <f>'[15]Input Sheet'!Q861</f>
        <v>0</v>
      </c>
      <c r="E1291" s="1098">
        <f>'[15]Input Sheet'!R861</f>
        <v>8.5249830000000006</v>
      </c>
      <c r="F1291" s="1131">
        <v>0</v>
      </c>
      <c r="G1291" s="333">
        <v>0</v>
      </c>
    </row>
    <row r="1292" spans="1:7" x14ac:dyDescent="0.2">
      <c r="A1292" s="332">
        <v>53326</v>
      </c>
      <c r="B1292" s="321" t="s">
        <v>1985</v>
      </c>
      <c r="C1292" s="1098"/>
      <c r="D1292" s="1098">
        <f>'[15]Input Sheet'!Q862</f>
        <v>0</v>
      </c>
      <c r="E1292" s="1098">
        <f>'[15]Input Sheet'!R862</f>
        <v>12.260475</v>
      </c>
      <c r="F1292" s="1131">
        <v>0</v>
      </c>
      <c r="G1292" s="333">
        <v>15.642675000000001</v>
      </c>
    </row>
    <row r="1293" spans="1:7" x14ac:dyDescent="0.2">
      <c r="A1293" s="332">
        <v>53327</v>
      </c>
      <c r="B1293" s="321" t="s">
        <v>1986</v>
      </c>
      <c r="C1293" s="1098"/>
      <c r="D1293" s="1098">
        <f>'[15]Input Sheet'!Q863</f>
        <v>0</v>
      </c>
      <c r="E1293" s="1098">
        <f>'[15]Input Sheet'!R863</f>
        <v>13.0864735</v>
      </c>
      <c r="F1293" s="1131">
        <v>0</v>
      </c>
      <c r="G1293" s="333">
        <v>4.2779639999999999</v>
      </c>
    </row>
    <row r="1294" spans="1:7" x14ac:dyDescent="0.2">
      <c r="A1294" s="332">
        <v>53328</v>
      </c>
      <c r="B1294" s="321" t="s">
        <v>1987</v>
      </c>
      <c r="C1294" s="1098"/>
      <c r="D1294" s="1098">
        <f>'[15]Input Sheet'!Q864</f>
        <v>0</v>
      </c>
      <c r="E1294" s="1098">
        <f>'[15]Input Sheet'!R864</f>
        <v>10.7680805</v>
      </c>
      <c r="F1294" s="1131">
        <v>0</v>
      </c>
      <c r="G1294" s="333">
        <v>10.297958100000001</v>
      </c>
    </row>
    <row r="1295" spans="1:7" x14ac:dyDescent="0.2">
      <c r="A1295" s="332">
        <v>53329</v>
      </c>
      <c r="B1295" s="321" t="s">
        <v>1988</v>
      </c>
      <c r="C1295" s="1098"/>
      <c r="D1295" s="1098">
        <f>'[15]Input Sheet'!Q865</f>
        <v>0</v>
      </c>
      <c r="E1295" s="1098">
        <f>'[15]Input Sheet'!R865</f>
        <v>9.8213582000000006</v>
      </c>
      <c r="F1295" s="1131">
        <v>0</v>
      </c>
      <c r="G1295" s="333">
        <v>7.4382026999999997</v>
      </c>
    </row>
    <row r="1296" spans="1:7" x14ac:dyDescent="0.2">
      <c r="A1296" s="332">
        <v>53330</v>
      </c>
      <c r="B1296" s="321" t="s">
        <v>1989</v>
      </c>
      <c r="C1296" s="1098"/>
      <c r="D1296" s="1098">
        <f>'[15]Input Sheet'!Q866</f>
        <v>0</v>
      </c>
      <c r="E1296" s="1098">
        <f>'[15]Input Sheet'!R866</f>
        <v>23.166284000000001</v>
      </c>
      <c r="F1296" s="1131">
        <v>0</v>
      </c>
      <c r="G1296" s="333">
        <v>30.294371099999999</v>
      </c>
    </row>
    <row r="1297" spans="1:7" x14ac:dyDescent="0.2">
      <c r="A1297" s="332">
        <v>53331</v>
      </c>
      <c r="B1297" s="321" t="s">
        <v>1990</v>
      </c>
      <c r="C1297" s="1098"/>
      <c r="D1297" s="1098">
        <f>'[15]Input Sheet'!Q867</f>
        <v>0</v>
      </c>
      <c r="E1297" s="1098">
        <f>'[15]Input Sheet'!R867</f>
        <v>3.4272459999999998</v>
      </c>
      <c r="F1297" s="1131">
        <v>0</v>
      </c>
      <c r="G1297" s="333">
        <v>4.4427260000000004</v>
      </c>
    </row>
    <row r="1298" spans="1:7" x14ac:dyDescent="0.2">
      <c r="A1298" s="332">
        <v>53332</v>
      </c>
      <c r="B1298" s="321" t="s">
        <v>1991</v>
      </c>
      <c r="C1298" s="1098"/>
      <c r="D1298" s="1098">
        <f>'[15]Input Sheet'!Q868</f>
        <v>0</v>
      </c>
      <c r="E1298" s="1098">
        <f>'[15]Input Sheet'!R868</f>
        <v>38.509095299999998</v>
      </c>
      <c r="F1298" s="1131">
        <v>0</v>
      </c>
      <c r="G1298" s="333">
        <v>50.358047300000003</v>
      </c>
    </row>
    <row r="1299" spans="1:7" x14ac:dyDescent="0.2">
      <c r="A1299" s="332">
        <v>53333</v>
      </c>
      <c r="B1299" s="321" t="s">
        <v>1992</v>
      </c>
      <c r="C1299" s="1098"/>
      <c r="D1299" s="1098">
        <f>'[15]Input Sheet'!Q869</f>
        <v>0</v>
      </c>
      <c r="E1299" s="1098">
        <f>'[15]Input Sheet'!R869</f>
        <v>2.8924399999999999E-2</v>
      </c>
      <c r="F1299" s="1131">
        <v>0</v>
      </c>
      <c r="G1299" s="333">
        <v>2.6244E-2</v>
      </c>
    </row>
    <row r="1300" spans="1:7" x14ac:dyDescent="0.2">
      <c r="A1300" s="332">
        <v>53334</v>
      </c>
      <c r="B1300" s="321" t="s">
        <v>1993</v>
      </c>
      <c r="C1300" s="1098"/>
      <c r="D1300" s="1098">
        <f>'[15]Input Sheet'!Q870</f>
        <v>0</v>
      </c>
      <c r="E1300" s="1098">
        <f>'[15]Input Sheet'!R870</f>
        <v>14.421340900000001</v>
      </c>
      <c r="F1300" s="1131">
        <v>0</v>
      </c>
      <c r="G1300" s="333">
        <v>8.3922097000000004</v>
      </c>
    </row>
    <row r="1301" spans="1:7" x14ac:dyDescent="0.2">
      <c r="A1301" s="332">
        <v>53335</v>
      </c>
      <c r="B1301" s="321" t="s">
        <v>1994</v>
      </c>
      <c r="C1301" s="1098"/>
      <c r="D1301" s="1098">
        <f>'[15]Input Sheet'!Q871</f>
        <v>0</v>
      </c>
      <c r="E1301" s="1098">
        <f>'[15]Input Sheet'!R871</f>
        <v>33.025323299999997</v>
      </c>
      <c r="F1301" s="1131">
        <v>0</v>
      </c>
      <c r="G1301" s="333">
        <v>43.1869619</v>
      </c>
    </row>
    <row r="1302" spans="1:7" x14ac:dyDescent="0.2">
      <c r="A1302" s="332">
        <v>53336</v>
      </c>
      <c r="B1302" s="321" t="s">
        <v>1995</v>
      </c>
      <c r="C1302" s="1098"/>
      <c r="D1302" s="1098">
        <f>'[15]Input Sheet'!Q872</f>
        <v>0</v>
      </c>
      <c r="E1302" s="1098">
        <f>'[15]Input Sheet'!R872</f>
        <v>6.7761078000000001</v>
      </c>
      <c r="F1302" s="1131">
        <v>0</v>
      </c>
      <c r="G1302" s="333">
        <v>8.7121390000000005</v>
      </c>
    </row>
    <row r="1303" spans="1:7" x14ac:dyDescent="0.2">
      <c r="A1303" s="332">
        <v>53337</v>
      </c>
      <c r="B1303" s="321" t="s">
        <v>1996</v>
      </c>
      <c r="C1303" s="1098"/>
      <c r="D1303" s="1098">
        <f>'[15]Input Sheet'!Q873</f>
        <v>0</v>
      </c>
      <c r="E1303" s="1098">
        <f>'[15]Input Sheet'!R873</f>
        <v>7.9750917000000001</v>
      </c>
      <c r="F1303" s="1131">
        <v>0</v>
      </c>
      <c r="G1303" s="333">
        <v>8.3997039999999998</v>
      </c>
    </row>
    <row r="1304" spans="1:7" x14ac:dyDescent="0.2">
      <c r="A1304" s="332">
        <v>53338</v>
      </c>
      <c r="B1304" s="321" t="s">
        <v>1997</v>
      </c>
      <c r="C1304" s="1098"/>
      <c r="D1304" s="1098">
        <f>'[15]Input Sheet'!Q874</f>
        <v>0</v>
      </c>
      <c r="E1304" s="1098">
        <f>'[15]Input Sheet'!R874</f>
        <v>8.4047900000000002</v>
      </c>
      <c r="F1304" s="1131">
        <v>0</v>
      </c>
      <c r="G1304" s="333">
        <v>6.1511386000000003</v>
      </c>
    </row>
    <row r="1305" spans="1:7" x14ac:dyDescent="0.2">
      <c r="A1305" s="332">
        <v>53339</v>
      </c>
      <c r="B1305" s="321" t="s">
        <v>1998</v>
      </c>
      <c r="C1305" s="1098"/>
      <c r="D1305" s="1098">
        <f>'[15]Input Sheet'!Q875</f>
        <v>0</v>
      </c>
      <c r="E1305" s="1098">
        <f>'[15]Input Sheet'!R875</f>
        <v>10.151325</v>
      </c>
      <c r="F1305" s="1131">
        <v>0</v>
      </c>
      <c r="G1305" s="333">
        <v>13.159125</v>
      </c>
    </row>
    <row r="1306" spans="1:7" x14ac:dyDescent="0.2">
      <c r="A1306" s="332">
        <v>53340</v>
      </c>
      <c r="B1306" s="321" t="s">
        <v>1999</v>
      </c>
      <c r="C1306" s="1098"/>
      <c r="D1306" s="1098">
        <f>'[15]Input Sheet'!Q876</f>
        <v>0</v>
      </c>
      <c r="E1306" s="1098">
        <f>'[15]Input Sheet'!R876</f>
        <v>0</v>
      </c>
      <c r="F1306" s="1131">
        <v>0</v>
      </c>
      <c r="G1306" s="333">
        <v>0</v>
      </c>
    </row>
    <row r="1307" spans="1:7" x14ac:dyDescent="0.2">
      <c r="A1307" s="332">
        <v>53341</v>
      </c>
      <c r="B1307" s="321" t="s">
        <v>2000</v>
      </c>
      <c r="C1307" s="1098"/>
      <c r="D1307" s="1098">
        <f>'[15]Input Sheet'!Q877</f>
        <v>0</v>
      </c>
      <c r="E1307" s="1098">
        <f>'[15]Input Sheet'!R877</f>
        <v>7.2962942000000002</v>
      </c>
      <c r="F1307" s="1131">
        <v>0</v>
      </c>
      <c r="G1307" s="333">
        <v>6.6507152999999999</v>
      </c>
    </row>
    <row r="1308" spans="1:7" x14ac:dyDescent="0.2">
      <c r="A1308" s="332">
        <v>53342</v>
      </c>
      <c r="B1308" s="321" t="s">
        <v>2001</v>
      </c>
      <c r="C1308" s="1098"/>
      <c r="D1308" s="1098">
        <f>'[15]Input Sheet'!Q878</f>
        <v>0</v>
      </c>
      <c r="E1308" s="1098">
        <f>'[15]Input Sheet'!R878</f>
        <v>0</v>
      </c>
      <c r="F1308" s="1131">
        <v>0</v>
      </c>
      <c r="G1308" s="333">
        <v>0</v>
      </c>
    </row>
    <row r="1309" spans="1:7" x14ac:dyDescent="0.2">
      <c r="A1309" s="332">
        <v>53343</v>
      </c>
      <c r="B1309" s="321" t="s">
        <v>2002</v>
      </c>
      <c r="C1309" s="1098"/>
      <c r="D1309" s="1098">
        <f>'[15]Input Sheet'!Q879</f>
        <v>0</v>
      </c>
      <c r="E1309" s="1098">
        <f>'[15]Input Sheet'!R879</f>
        <v>9.2326403999999993</v>
      </c>
      <c r="F1309" s="1131">
        <v>0</v>
      </c>
      <c r="G1309" s="333">
        <v>10.154646400000001</v>
      </c>
    </row>
    <row r="1310" spans="1:7" x14ac:dyDescent="0.2">
      <c r="A1310" s="332">
        <v>53344</v>
      </c>
      <c r="B1310" s="321" t="s">
        <v>2003</v>
      </c>
      <c r="C1310" s="1098"/>
      <c r="D1310" s="1098">
        <f>'[15]Input Sheet'!Q880</f>
        <v>0</v>
      </c>
      <c r="E1310" s="1098">
        <f>'[15]Input Sheet'!R880</f>
        <v>11.468321599999999</v>
      </c>
      <c r="F1310" s="1131">
        <v>0</v>
      </c>
      <c r="G1310" s="333">
        <v>13.9634068</v>
      </c>
    </row>
    <row r="1311" spans="1:7" x14ac:dyDescent="0.2">
      <c r="A1311" s="332">
        <v>53345</v>
      </c>
      <c r="B1311" s="321" t="s">
        <v>2004</v>
      </c>
      <c r="C1311" s="1098"/>
      <c r="D1311" s="1098">
        <f>'[15]Input Sheet'!Q881</f>
        <v>0</v>
      </c>
      <c r="E1311" s="1098">
        <f>'[15]Input Sheet'!R881</f>
        <v>24.002999899999999</v>
      </c>
      <c r="F1311" s="1131">
        <v>0</v>
      </c>
      <c r="G1311" s="333">
        <v>30.860999899999999</v>
      </c>
    </row>
    <row r="1312" spans="1:7" x14ac:dyDescent="0.2">
      <c r="A1312" s="332">
        <v>53346</v>
      </c>
      <c r="B1312" s="321" t="s">
        <v>2005</v>
      </c>
      <c r="C1312" s="1098"/>
      <c r="D1312" s="1098">
        <f>'[15]Input Sheet'!Q882</f>
        <v>0</v>
      </c>
      <c r="E1312" s="1098">
        <f>'[15]Input Sheet'!R882</f>
        <v>7.6642181999999996</v>
      </c>
      <c r="F1312" s="1131">
        <v>0</v>
      </c>
      <c r="G1312" s="333">
        <v>0.26669599999999999</v>
      </c>
    </row>
    <row r="1313" spans="1:7" x14ac:dyDescent="0.2">
      <c r="A1313" s="332">
        <v>53347</v>
      </c>
      <c r="B1313" s="321" t="s">
        <v>2006</v>
      </c>
      <c r="C1313" s="1098"/>
      <c r="D1313" s="1098">
        <f>'[15]Input Sheet'!Q883</f>
        <v>0</v>
      </c>
      <c r="E1313" s="1098">
        <f>'[15]Input Sheet'!R883</f>
        <v>6.3271705999999996</v>
      </c>
      <c r="F1313" s="1131">
        <v>0</v>
      </c>
      <c r="G1313" s="333">
        <v>5.8248872</v>
      </c>
    </row>
    <row r="1314" spans="1:7" x14ac:dyDescent="0.2">
      <c r="A1314" s="332">
        <v>53348</v>
      </c>
      <c r="B1314" s="321" t="s">
        <v>2007</v>
      </c>
      <c r="C1314" s="1098"/>
      <c r="D1314" s="1098">
        <f>'[15]Input Sheet'!Q884</f>
        <v>0</v>
      </c>
      <c r="E1314" s="1098">
        <f>'[15]Input Sheet'!R884</f>
        <v>13.266750999999999</v>
      </c>
      <c r="F1314" s="1131">
        <v>0</v>
      </c>
      <c r="G1314" s="333">
        <v>14.5851702</v>
      </c>
    </row>
    <row r="1315" spans="1:7" x14ac:dyDescent="0.2">
      <c r="A1315" s="332">
        <v>53349</v>
      </c>
      <c r="B1315" s="321" t="s">
        <v>2008</v>
      </c>
      <c r="C1315" s="1098"/>
      <c r="D1315" s="1098">
        <f>'[15]Input Sheet'!Q885</f>
        <v>0</v>
      </c>
      <c r="E1315" s="1098">
        <f>'[15]Input Sheet'!R885</f>
        <v>14.327324900000001</v>
      </c>
      <c r="F1315" s="1131">
        <v>0</v>
      </c>
      <c r="G1315" s="333">
        <v>15.489000000000001</v>
      </c>
    </row>
    <row r="1316" spans="1:7" x14ac:dyDescent="0.2">
      <c r="A1316" s="332">
        <v>53350</v>
      </c>
      <c r="B1316" s="321" t="s">
        <v>2009</v>
      </c>
      <c r="C1316" s="1098"/>
      <c r="D1316" s="1098">
        <f>'[15]Input Sheet'!Q886</f>
        <v>0</v>
      </c>
      <c r="E1316" s="1098">
        <f>'[15]Input Sheet'!R886</f>
        <v>2.0115056</v>
      </c>
      <c r="F1316" s="1131">
        <v>0</v>
      </c>
      <c r="G1316" s="333">
        <v>1.8457068999999999</v>
      </c>
    </row>
    <row r="1317" spans="1:7" x14ac:dyDescent="0.2">
      <c r="A1317" s="431">
        <v>53351</v>
      </c>
      <c r="B1317" s="431" t="s">
        <v>2010</v>
      </c>
      <c r="C1317" s="1172"/>
      <c r="D1317" s="1098">
        <f>'[15]Input Sheet'!Q887</f>
        <v>0</v>
      </c>
      <c r="E1317" s="1098">
        <f>'[15]Input Sheet'!R887</f>
        <v>13.9640583</v>
      </c>
      <c r="F1317" s="1131">
        <v>0</v>
      </c>
      <c r="G1317" s="333">
        <v>5.1975746000000003</v>
      </c>
    </row>
    <row r="1318" spans="1:7" x14ac:dyDescent="0.2">
      <c r="A1318" s="431">
        <v>53352</v>
      </c>
      <c r="B1318" s="431" t="s">
        <v>2011</v>
      </c>
      <c r="C1318" s="1172"/>
      <c r="D1318" s="1098">
        <f>'[15]Input Sheet'!Q888</f>
        <v>0</v>
      </c>
      <c r="E1318" s="1098">
        <f>'[15]Input Sheet'!R888</f>
        <v>100.1641242</v>
      </c>
      <c r="F1318" s="1131">
        <v>0</v>
      </c>
      <c r="G1318" s="333">
        <v>127.7956071</v>
      </c>
    </row>
    <row r="1319" spans="1:7" x14ac:dyDescent="0.2">
      <c r="A1319" s="431">
        <v>53353</v>
      </c>
      <c r="B1319" s="431" t="s">
        <v>2012</v>
      </c>
      <c r="C1319" s="1172"/>
      <c r="D1319" s="1098">
        <f>'[15]Input Sheet'!Q889</f>
        <v>0</v>
      </c>
      <c r="E1319" s="1098">
        <f>'[15]Input Sheet'!R889</f>
        <v>0</v>
      </c>
      <c r="F1319" s="1131">
        <v>0</v>
      </c>
      <c r="G1319" s="333">
        <v>0</v>
      </c>
    </row>
    <row r="1320" spans="1:7" x14ac:dyDescent="0.2">
      <c r="A1320" s="431">
        <v>53354</v>
      </c>
      <c r="B1320" s="431" t="s">
        <v>2013</v>
      </c>
      <c r="C1320" s="1172"/>
      <c r="D1320" s="1098">
        <f>'[15]Input Sheet'!Q890</f>
        <v>0</v>
      </c>
      <c r="E1320" s="1098">
        <f>'[15]Input Sheet'!R890</f>
        <v>16.857282699999999</v>
      </c>
      <c r="F1320" s="1131">
        <v>0</v>
      </c>
      <c r="G1320" s="333">
        <v>7.6294255</v>
      </c>
    </row>
    <row r="1321" spans="1:7" x14ac:dyDescent="0.2">
      <c r="A1321" s="431">
        <v>53355</v>
      </c>
      <c r="B1321" s="431" t="s">
        <v>2014</v>
      </c>
      <c r="C1321" s="1172"/>
      <c r="D1321" s="1098">
        <f>'[15]Input Sheet'!Q891</f>
        <v>0</v>
      </c>
      <c r="E1321" s="1098">
        <f>'[15]Input Sheet'!R891</f>
        <v>7.7380810999999996</v>
      </c>
      <c r="F1321" s="1131">
        <v>0</v>
      </c>
      <c r="G1321" s="333">
        <v>8.4232999999999993</v>
      </c>
    </row>
    <row r="1322" spans="1:7" x14ac:dyDescent="0.2">
      <c r="A1322" s="431">
        <v>53356</v>
      </c>
      <c r="B1322" s="431" t="s">
        <v>2015</v>
      </c>
      <c r="C1322" s="1172"/>
      <c r="D1322" s="1098">
        <f>'[15]Input Sheet'!Q892</f>
        <v>0</v>
      </c>
      <c r="E1322" s="1098">
        <f>'[15]Input Sheet'!R892</f>
        <v>9.2294082999999993</v>
      </c>
      <c r="F1322" s="1131">
        <v>0</v>
      </c>
      <c r="G1322" s="333">
        <v>11.060675</v>
      </c>
    </row>
    <row r="1323" spans="1:7" x14ac:dyDescent="0.2">
      <c r="A1323" s="431">
        <v>53357</v>
      </c>
      <c r="B1323" s="431" t="s">
        <v>2016</v>
      </c>
      <c r="C1323" s="1172"/>
      <c r="D1323" s="1098">
        <f>'[15]Input Sheet'!Q893</f>
        <v>0</v>
      </c>
      <c r="E1323" s="1098">
        <f>'[15]Input Sheet'!R893</f>
        <v>8.3996668999999997</v>
      </c>
      <c r="F1323" s="1131">
        <v>0</v>
      </c>
      <c r="G1323" s="333">
        <v>1.0105919999999999</v>
      </c>
    </row>
    <row r="1324" spans="1:7" x14ac:dyDescent="0.2">
      <c r="A1324" s="431">
        <v>53358</v>
      </c>
      <c r="B1324" s="431" t="s">
        <v>2017</v>
      </c>
      <c r="C1324" s="1172"/>
      <c r="D1324" s="1098">
        <f>'[15]Input Sheet'!Q894</f>
        <v>0</v>
      </c>
      <c r="E1324" s="1098">
        <f>'[15]Input Sheet'!R894</f>
        <v>6.8404683000000004</v>
      </c>
      <c r="F1324" s="1131">
        <v>0</v>
      </c>
      <c r="G1324" s="333">
        <v>5.3891423999999999</v>
      </c>
    </row>
    <row r="1325" spans="1:7" x14ac:dyDescent="0.2">
      <c r="A1325" s="431">
        <v>53359</v>
      </c>
      <c r="B1325" s="431" t="s">
        <v>2018</v>
      </c>
      <c r="C1325" s="1172"/>
      <c r="D1325" s="1098">
        <f>'[15]Input Sheet'!Q895</f>
        <v>0</v>
      </c>
      <c r="E1325" s="1098">
        <f>'[15]Input Sheet'!R895</f>
        <v>8.9098401999999997</v>
      </c>
      <c r="F1325" s="1131">
        <v>0</v>
      </c>
      <c r="G1325" s="333">
        <v>9.8052910000000004</v>
      </c>
    </row>
    <row r="1326" spans="1:7" x14ac:dyDescent="0.2">
      <c r="A1326" s="431">
        <v>53360</v>
      </c>
      <c r="B1326" s="431" t="s">
        <v>2019</v>
      </c>
      <c r="C1326" s="1172"/>
      <c r="D1326" s="1098">
        <f>'[15]Input Sheet'!Q896</f>
        <v>0</v>
      </c>
      <c r="E1326" s="1098">
        <f>'[15]Input Sheet'!R896</f>
        <v>10.0654363</v>
      </c>
      <c r="F1326" s="1131">
        <v>0</v>
      </c>
      <c r="G1326" s="333">
        <v>7.9519412000000003</v>
      </c>
    </row>
    <row r="1327" spans="1:7" x14ac:dyDescent="0.2">
      <c r="A1327" s="431">
        <v>53361</v>
      </c>
      <c r="B1327" s="431" t="s">
        <v>2020</v>
      </c>
      <c r="C1327" s="1172"/>
      <c r="D1327" s="1098">
        <f>'[15]Input Sheet'!Q897</f>
        <v>0</v>
      </c>
      <c r="E1327" s="1098">
        <f>'[15]Input Sheet'!R897</f>
        <v>11.7275241</v>
      </c>
      <c r="F1327" s="1131">
        <v>0</v>
      </c>
      <c r="G1327" s="333">
        <v>13.9013945</v>
      </c>
    </row>
    <row r="1328" spans="1:7" x14ac:dyDescent="0.2">
      <c r="A1328" s="431">
        <v>53362</v>
      </c>
      <c r="B1328" s="431" t="s">
        <v>2021</v>
      </c>
      <c r="C1328" s="1172"/>
      <c r="D1328" s="1098">
        <f>'[15]Input Sheet'!Q898</f>
        <v>0</v>
      </c>
      <c r="E1328" s="1098">
        <f>'[15]Input Sheet'!R898</f>
        <v>8.1835857000000001</v>
      </c>
      <c r="F1328" s="1131">
        <v>0</v>
      </c>
      <c r="G1328" s="333">
        <v>8.6737508000000005</v>
      </c>
    </row>
    <row r="1329" spans="1:7" x14ac:dyDescent="0.2">
      <c r="A1329" s="431">
        <v>53363</v>
      </c>
      <c r="B1329" s="431" t="s">
        <v>2022</v>
      </c>
      <c r="C1329" s="1172"/>
      <c r="D1329" s="1098">
        <f>'[15]Input Sheet'!Q899</f>
        <v>0</v>
      </c>
      <c r="E1329" s="1098">
        <f>'[15]Input Sheet'!R899</f>
        <v>0</v>
      </c>
      <c r="F1329" s="1131">
        <v>0</v>
      </c>
      <c r="G1329" s="333">
        <v>0</v>
      </c>
    </row>
    <row r="1330" spans="1:7" x14ac:dyDescent="0.2">
      <c r="A1330" s="431">
        <v>53364</v>
      </c>
      <c r="B1330" s="431" t="s">
        <v>2023</v>
      </c>
      <c r="C1330" s="1172"/>
      <c r="D1330" s="1098">
        <f>'[15]Input Sheet'!Q900</f>
        <v>0</v>
      </c>
      <c r="E1330" s="1098">
        <f>'[15]Input Sheet'!R900</f>
        <v>37.247599999999998</v>
      </c>
      <c r="F1330" s="1131">
        <v>0</v>
      </c>
      <c r="G1330" s="333">
        <v>47.522799999999997</v>
      </c>
    </row>
    <row r="1331" spans="1:7" x14ac:dyDescent="0.2">
      <c r="A1331" s="431">
        <v>53365</v>
      </c>
      <c r="B1331" s="431" t="s">
        <v>2024</v>
      </c>
      <c r="C1331" s="1172"/>
      <c r="D1331" s="1098">
        <f>'[15]Input Sheet'!Q901</f>
        <v>0</v>
      </c>
      <c r="E1331" s="1098">
        <f>'[15]Input Sheet'!R901</f>
        <v>9.3152205000000006</v>
      </c>
      <c r="F1331" s="1131">
        <v>0</v>
      </c>
      <c r="G1331" s="333">
        <v>9.8250349999999997</v>
      </c>
    </row>
    <row r="1332" spans="1:7" x14ac:dyDescent="0.2">
      <c r="A1332" s="431">
        <v>53366</v>
      </c>
      <c r="B1332" s="431" t="s">
        <v>2025</v>
      </c>
      <c r="C1332" s="1172"/>
      <c r="D1332" s="1098">
        <f>'[15]Input Sheet'!Q902</f>
        <v>0</v>
      </c>
      <c r="E1332" s="1098">
        <f>'[15]Input Sheet'!R902</f>
        <v>9.3045579000000007</v>
      </c>
      <c r="F1332" s="1131">
        <v>0</v>
      </c>
      <c r="G1332" s="333">
        <v>6.4807357000000003</v>
      </c>
    </row>
    <row r="1333" spans="1:7" x14ac:dyDescent="0.2">
      <c r="A1333" s="431">
        <v>53367</v>
      </c>
      <c r="B1333" s="431" t="s">
        <v>2026</v>
      </c>
      <c r="C1333" s="1172"/>
      <c r="D1333" s="1098">
        <f>'[15]Input Sheet'!Q903</f>
        <v>0</v>
      </c>
      <c r="E1333" s="1098">
        <f>'[15]Input Sheet'!R903</f>
        <v>6.2697906999999997</v>
      </c>
      <c r="F1333" s="1131">
        <v>0</v>
      </c>
      <c r="G1333" s="333">
        <v>0</v>
      </c>
    </row>
    <row r="1334" spans="1:7" x14ac:dyDescent="0.2">
      <c r="A1334" s="431">
        <v>53368</v>
      </c>
      <c r="B1334" s="431" t="s">
        <v>2027</v>
      </c>
      <c r="C1334" s="1172"/>
      <c r="D1334" s="1098">
        <f>'[15]Input Sheet'!Q904</f>
        <v>0</v>
      </c>
      <c r="E1334" s="1098">
        <f>'[15]Input Sheet'!R904</f>
        <v>0</v>
      </c>
      <c r="F1334" s="1131">
        <v>0</v>
      </c>
      <c r="G1334" s="333">
        <v>0</v>
      </c>
    </row>
    <row r="1335" spans="1:7" x14ac:dyDescent="0.2">
      <c r="A1335" s="431">
        <v>53369</v>
      </c>
      <c r="B1335" s="431" t="s">
        <v>2028</v>
      </c>
      <c r="C1335" s="1172"/>
      <c r="D1335" s="1098">
        <f>'[15]Input Sheet'!Q905</f>
        <v>0</v>
      </c>
      <c r="E1335" s="1098">
        <f>'[15]Input Sheet'!R905</f>
        <v>16.283950000000001</v>
      </c>
      <c r="F1335" s="1131">
        <v>0</v>
      </c>
      <c r="G1335" s="333">
        <v>0</v>
      </c>
    </row>
    <row r="1336" spans="1:7" x14ac:dyDescent="0.2">
      <c r="A1336" s="431">
        <v>53370</v>
      </c>
      <c r="B1336" s="431" t="s">
        <v>2029</v>
      </c>
      <c r="C1336" s="1172"/>
      <c r="D1336" s="1098">
        <f>'[15]Input Sheet'!Q906</f>
        <v>0</v>
      </c>
      <c r="E1336" s="1098">
        <f>'[15]Input Sheet'!R906</f>
        <v>7.476</v>
      </c>
      <c r="F1336" s="1131">
        <v>0</v>
      </c>
      <c r="G1336" s="333">
        <v>9.4695999999999998</v>
      </c>
    </row>
    <row r="1337" spans="1:7" x14ac:dyDescent="0.2">
      <c r="A1337" s="431">
        <v>53371</v>
      </c>
      <c r="B1337" s="431" t="s">
        <v>2030</v>
      </c>
      <c r="C1337" s="1172"/>
      <c r="D1337" s="1098">
        <f>'[15]Input Sheet'!Q907</f>
        <v>0</v>
      </c>
      <c r="E1337" s="1098">
        <f>'[15]Input Sheet'!R907</f>
        <v>0</v>
      </c>
      <c r="F1337" s="1131">
        <v>0</v>
      </c>
      <c r="G1337" s="333">
        <v>0</v>
      </c>
    </row>
    <row r="1338" spans="1:7" x14ac:dyDescent="0.2">
      <c r="A1338" s="431">
        <v>53372</v>
      </c>
      <c r="B1338" s="431" t="s">
        <v>2031</v>
      </c>
      <c r="C1338" s="1172"/>
      <c r="D1338" s="1098">
        <f>'[15]Input Sheet'!Q908</f>
        <v>0</v>
      </c>
      <c r="E1338" s="1098">
        <f>'[15]Input Sheet'!R908</f>
        <v>12.2225552</v>
      </c>
      <c r="F1338" s="1131">
        <v>0</v>
      </c>
      <c r="G1338" s="333">
        <v>12.5916731</v>
      </c>
    </row>
    <row r="1339" spans="1:7" x14ac:dyDescent="0.2">
      <c r="A1339" s="431">
        <v>53373</v>
      </c>
      <c r="B1339" s="431" t="s">
        <v>2032</v>
      </c>
      <c r="C1339" s="1172"/>
      <c r="D1339" s="1098">
        <f>'[15]Input Sheet'!Q909</f>
        <v>0</v>
      </c>
      <c r="E1339" s="1098">
        <f>'[15]Input Sheet'!R909</f>
        <v>3.7926599999999998E-2</v>
      </c>
      <c r="F1339" s="1131">
        <v>0</v>
      </c>
      <c r="G1339" s="333">
        <v>3.5450700000000002E-2</v>
      </c>
    </row>
    <row r="1340" spans="1:7" x14ac:dyDescent="0.2">
      <c r="A1340" s="431">
        <v>53374</v>
      </c>
      <c r="B1340" s="431" t="s">
        <v>2033</v>
      </c>
      <c r="C1340" s="1172"/>
      <c r="D1340" s="1098">
        <f>'[15]Input Sheet'!Q910</f>
        <v>0</v>
      </c>
      <c r="E1340" s="1098">
        <f>'[15]Input Sheet'!R910</f>
        <v>7.1223995999999996</v>
      </c>
      <c r="F1340" s="1131">
        <v>0</v>
      </c>
      <c r="G1340" s="333">
        <v>9.0871996999999993</v>
      </c>
    </row>
    <row r="1341" spans="1:7" x14ac:dyDescent="0.2">
      <c r="A1341" s="431">
        <v>53375</v>
      </c>
      <c r="B1341" s="431" t="s">
        <v>2034</v>
      </c>
      <c r="C1341" s="1172"/>
      <c r="D1341" s="1098">
        <f>'[15]Input Sheet'!Q911</f>
        <v>0</v>
      </c>
      <c r="E1341" s="1098">
        <f>'[15]Input Sheet'!R911</f>
        <v>19.801876199999999</v>
      </c>
      <c r="F1341" s="1131">
        <v>0</v>
      </c>
      <c r="G1341" s="333">
        <v>23.9454435</v>
      </c>
    </row>
    <row r="1342" spans="1:7" x14ac:dyDescent="0.2">
      <c r="A1342" s="431">
        <v>53376</v>
      </c>
      <c r="B1342" s="431" t="s">
        <v>2035</v>
      </c>
      <c r="C1342" s="1172"/>
      <c r="D1342" s="1098">
        <f>'[15]Input Sheet'!Q912</f>
        <v>0</v>
      </c>
      <c r="E1342" s="1098">
        <f>'[15]Input Sheet'!R912</f>
        <v>8.3018000000000001</v>
      </c>
      <c r="F1342" s="1131">
        <v>0</v>
      </c>
      <c r="G1342" s="333">
        <v>10.4442</v>
      </c>
    </row>
    <row r="1343" spans="1:7" x14ac:dyDescent="0.2">
      <c r="A1343" s="431">
        <v>53377</v>
      </c>
      <c r="B1343" s="431" t="s">
        <v>2036</v>
      </c>
      <c r="C1343" s="1172"/>
      <c r="D1343" s="1098">
        <f>'[15]Input Sheet'!Q913</f>
        <v>0</v>
      </c>
      <c r="E1343" s="1098">
        <f>'[15]Input Sheet'!R913</f>
        <v>6.78</v>
      </c>
      <c r="F1343" s="1131">
        <v>0</v>
      </c>
      <c r="G1343" s="333">
        <v>8.5879999999999992</v>
      </c>
    </row>
    <row r="1344" spans="1:7" x14ac:dyDescent="0.2">
      <c r="A1344" s="431">
        <v>53378</v>
      </c>
      <c r="B1344" s="431" t="s">
        <v>2037</v>
      </c>
      <c r="C1344" s="1172"/>
      <c r="D1344" s="1098">
        <f>'[15]Input Sheet'!Q914</f>
        <v>0</v>
      </c>
      <c r="E1344" s="1098">
        <f>'[15]Input Sheet'!R914</f>
        <v>0</v>
      </c>
      <c r="F1344" s="1131">
        <v>0</v>
      </c>
      <c r="G1344" s="333">
        <v>0</v>
      </c>
    </row>
    <row r="1345" spans="1:7" x14ac:dyDescent="0.2">
      <c r="A1345" s="431">
        <v>53379</v>
      </c>
      <c r="B1345" s="431" t="s">
        <v>2038</v>
      </c>
      <c r="C1345" s="1172"/>
      <c r="D1345" s="1098">
        <f>'[15]Input Sheet'!Q915</f>
        <v>0</v>
      </c>
      <c r="E1345" s="1098">
        <f>'[15]Input Sheet'!R915</f>
        <v>6.3944998000000002</v>
      </c>
      <c r="F1345" s="1131">
        <v>0</v>
      </c>
      <c r="G1345" s="333">
        <v>8.1584997999999995</v>
      </c>
    </row>
    <row r="1346" spans="1:7" x14ac:dyDescent="0.2">
      <c r="A1346" s="431">
        <v>53380</v>
      </c>
      <c r="B1346" s="431" t="s">
        <v>2039</v>
      </c>
      <c r="C1346" s="1172"/>
      <c r="D1346" s="1098">
        <f>'[15]Input Sheet'!Q916</f>
        <v>0</v>
      </c>
      <c r="E1346" s="1098">
        <f>'[15]Input Sheet'!R916</f>
        <v>3233.8955907</v>
      </c>
      <c r="F1346" s="1131">
        <v>0</v>
      </c>
      <c r="G1346" s="333">
        <v>1441.6651611</v>
      </c>
    </row>
    <row r="1347" spans="1:7" x14ac:dyDescent="0.2">
      <c r="A1347" s="332">
        <f>+'[15]Input Sheet'!D917</f>
        <v>53381</v>
      </c>
      <c r="B1347" s="433" t="s">
        <v>2040</v>
      </c>
      <c r="C1347" s="1098"/>
      <c r="D1347" s="1098">
        <f>'[15]Input Sheet'!Q917</f>
        <v>0</v>
      </c>
      <c r="E1347" s="1098">
        <f>'[15]Input Sheet'!R917</f>
        <v>19.759889600000001</v>
      </c>
      <c r="F1347" s="1131">
        <v>0</v>
      </c>
      <c r="G1347" s="333">
        <v>18.0806419</v>
      </c>
    </row>
    <row r="1348" spans="1:7" x14ac:dyDescent="0.2">
      <c r="A1348" s="332">
        <f>+'[15]Input Sheet'!D918</f>
        <v>53382</v>
      </c>
      <c r="B1348" s="433" t="s">
        <v>2041</v>
      </c>
      <c r="C1348" s="1098"/>
      <c r="D1348" s="1098">
        <f>'[15]Input Sheet'!Q918</f>
        <v>0</v>
      </c>
      <c r="E1348" s="1098">
        <f>'[15]Input Sheet'!R918</f>
        <v>10.7584</v>
      </c>
      <c r="F1348" s="1131">
        <v>0</v>
      </c>
      <c r="G1348" s="333">
        <v>13.448</v>
      </c>
    </row>
    <row r="1349" spans="1:7" x14ac:dyDescent="0.2">
      <c r="A1349" s="332">
        <f>+'[15]Input Sheet'!D919</f>
        <v>53383</v>
      </c>
      <c r="B1349" s="433" t="s">
        <v>2042</v>
      </c>
      <c r="C1349" s="1098"/>
      <c r="D1349" s="1098">
        <f>'[15]Input Sheet'!Q919</f>
        <v>0</v>
      </c>
      <c r="E1349" s="1098">
        <f>'[15]Input Sheet'!R919</f>
        <v>10.795225500000001</v>
      </c>
      <c r="F1349" s="1131">
        <v>0</v>
      </c>
      <c r="G1349" s="333">
        <v>8.6300427000000006</v>
      </c>
    </row>
    <row r="1350" spans="1:7" x14ac:dyDescent="0.2">
      <c r="A1350" s="332">
        <f>+'[15]Input Sheet'!D920</f>
        <v>53384</v>
      </c>
      <c r="B1350" s="433" t="s">
        <v>2043</v>
      </c>
      <c r="C1350" s="1098"/>
      <c r="D1350" s="1098">
        <f>'[15]Input Sheet'!Q920</f>
        <v>0</v>
      </c>
      <c r="E1350" s="1098">
        <f>'[15]Input Sheet'!R920</f>
        <v>65.932272400000002</v>
      </c>
      <c r="F1350" s="1131">
        <v>0</v>
      </c>
      <c r="G1350" s="333">
        <v>40.935811899999997</v>
      </c>
    </row>
    <row r="1351" spans="1:7" x14ac:dyDescent="0.2">
      <c r="A1351" s="332">
        <f>+'[15]Input Sheet'!D921</f>
        <v>53385</v>
      </c>
      <c r="B1351" s="433" t="s">
        <v>2044</v>
      </c>
      <c r="C1351" s="1098"/>
      <c r="D1351" s="1098">
        <f>'[15]Input Sheet'!Q921</f>
        <v>0</v>
      </c>
      <c r="E1351" s="1098">
        <f>'[15]Input Sheet'!R921</f>
        <v>12.434544799999999</v>
      </c>
      <c r="F1351" s="1131">
        <v>0</v>
      </c>
      <c r="G1351" s="333">
        <v>14.279562500000001</v>
      </c>
    </row>
    <row r="1352" spans="1:7" x14ac:dyDescent="0.2">
      <c r="A1352" s="332">
        <f>+'[15]Input Sheet'!D922</f>
        <v>53386</v>
      </c>
      <c r="B1352" s="433" t="s">
        <v>2045</v>
      </c>
      <c r="C1352" s="1098"/>
      <c r="D1352" s="1098">
        <f>'[15]Input Sheet'!Q922</f>
        <v>0</v>
      </c>
      <c r="E1352" s="1098">
        <f>'[15]Input Sheet'!R922</f>
        <v>0</v>
      </c>
      <c r="F1352" s="1131">
        <v>0</v>
      </c>
      <c r="G1352" s="333">
        <v>0</v>
      </c>
    </row>
    <row r="1353" spans="1:7" x14ac:dyDescent="0.2">
      <c r="A1353" s="332">
        <f>+'[15]Input Sheet'!D923</f>
        <v>53387</v>
      </c>
      <c r="B1353" s="433" t="s">
        <v>2046</v>
      </c>
      <c r="C1353" s="1098"/>
      <c r="D1353" s="1098">
        <f>'[15]Input Sheet'!Q923</f>
        <v>0</v>
      </c>
      <c r="E1353" s="1098">
        <f>'[15]Input Sheet'!R923</f>
        <v>7.3727999999999998</v>
      </c>
      <c r="F1353" s="1131">
        <v>0</v>
      </c>
      <c r="G1353" s="333">
        <v>9.2159999999999993</v>
      </c>
    </row>
    <row r="1354" spans="1:7" x14ac:dyDescent="0.2">
      <c r="A1354" s="332">
        <f>+'[15]Input Sheet'!D924</f>
        <v>53388</v>
      </c>
      <c r="B1354" s="433" t="s">
        <v>2047</v>
      </c>
      <c r="C1354" s="1098"/>
      <c r="D1354" s="1098">
        <f>'[15]Input Sheet'!Q924</f>
        <v>0</v>
      </c>
      <c r="E1354" s="1098">
        <f>'[15]Input Sheet'!R924</f>
        <v>6.2581366000000003</v>
      </c>
      <c r="F1354" s="1131">
        <v>0</v>
      </c>
      <c r="G1354" s="333">
        <v>5.3588766999999997</v>
      </c>
    </row>
    <row r="1355" spans="1:7" x14ac:dyDescent="0.2">
      <c r="A1355" s="332">
        <f>+'[15]Input Sheet'!D925</f>
        <v>53389</v>
      </c>
      <c r="B1355" s="433" t="s">
        <v>2048</v>
      </c>
      <c r="C1355" s="1098"/>
      <c r="D1355" s="1098">
        <f>'[15]Input Sheet'!Q925</f>
        <v>0</v>
      </c>
      <c r="E1355" s="1098">
        <f>'[15]Input Sheet'!R925</f>
        <v>7.4143799000000001</v>
      </c>
      <c r="F1355" s="1131">
        <v>0</v>
      </c>
      <c r="G1355" s="333">
        <v>7.9020377000000002</v>
      </c>
    </row>
    <row r="1356" spans="1:7" x14ac:dyDescent="0.2">
      <c r="A1356" s="332">
        <f>+'[15]Input Sheet'!D926</f>
        <v>53390</v>
      </c>
      <c r="B1356" s="433" t="s">
        <v>2049</v>
      </c>
      <c r="C1356" s="1098"/>
      <c r="D1356" s="1098">
        <f>'[15]Input Sheet'!Q926</f>
        <v>0</v>
      </c>
      <c r="E1356" s="1098">
        <f>'[15]Input Sheet'!R926</f>
        <v>15.3576</v>
      </c>
      <c r="F1356" s="1131">
        <v>0</v>
      </c>
      <c r="G1356" s="333">
        <v>0</v>
      </c>
    </row>
    <row r="1357" spans="1:7" x14ac:dyDescent="0.2">
      <c r="A1357" s="332">
        <f>+'[15]Input Sheet'!D927</f>
        <v>53391</v>
      </c>
      <c r="B1357" s="433" t="s">
        <v>2050</v>
      </c>
      <c r="C1357" s="1098"/>
      <c r="D1357" s="1098">
        <f>'[15]Input Sheet'!Q927</f>
        <v>0</v>
      </c>
      <c r="E1357" s="1098">
        <f>'[15]Input Sheet'!R927</f>
        <v>13.3927598</v>
      </c>
      <c r="F1357" s="1131">
        <v>0</v>
      </c>
      <c r="G1357" s="333">
        <v>6.14</v>
      </c>
    </row>
    <row r="1358" spans="1:7" x14ac:dyDescent="0.2">
      <c r="A1358" s="332">
        <f>+'[15]Input Sheet'!D928</f>
        <v>53392</v>
      </c>
      <c r="B1358" s="433" t="s">
        <v>2051</v>
      </c>
      <c r="C1358" s="1098"/>
      <c r="D1358" s="1098">
        <f>'[15]Input Sheet'!Q928</f>
        <v>0</v>
      </c>
      <c r="E1358" s="1098">
        <f>'[15]Input Sheet'!R928</f>
        <v>7.420248</v>
      </c>
      <c r="F1358" s="1131">
        <v>0</v>
      </c>
      <c r="G1358" s="333">
        <v>0</v>
      </c>
    </row>
    <row r="1359" spans="1:7" x14ac:dyDescent="0.2">
      <c r="A1359" s="332">
        <f>+'[15]Input Sheet'!D929</f>
        <v>53393</v>
      </c>
      <c r="B1359" s="433" t="s">
        <v>2052</v>
      </c>
      <c r="C1359" s="1098"/>
      <c r="D1359" s="1098">
        <f>'[15]Input Sheet'!Q929</f>
        <v>0</v>
      </c>
      <c r="E1359" s="1098">
        <f>'[15]Input Sheet'!R929</f>
        <v>0</v>
      </c>
      <c r="F1359" s="1131">
        <v>0</v>
      </c>
      <c r="G1359" s="333">
        <v>0</v>
      </c>
    </row>
    <row r="1360" spans="1:7" x14ac:dyDescent="0.2">
      <c r="A1360" s="332">
        <f>+'[15]Input Sheet'!D930</f>
        <v>53394</v>
      </c>
      <c r="B1360" s="433" t="s">
        <v>2053</v>
      </c>
      <c r="C1360" s="1098"/>
      <c r="D1360" s="1098">
        <f>'[15]Input Sheet'!Q930</f>
        <v>0</v>
      </c>
      <c r="E1360" s="1098">
        <f>'[15]Input Sheet'!R930</f>
        <v>9.0713524999999997</v>
      </c>
      <c r="F1360" s="1131">
        <v>0</v>
      </c>
      <c r="G1360" s="333">
        <v>4.9272977999999998</v>
      </c>
    </row>
    <row r="1361" spans="1:7" x14ac:dyDescent="0.2">
      <c r="A1361" s="332">
        <f>+'[15]Input Sheet'!D931</f>
        <v>53395</v>
      </c>
      <c r="B1361" s="433" t="s">
        <v>2054</v>
      </c>
      <c r="C1361" s="1098"/>
      <c r="D1361" s="1098">
        <f>'[15]Input Sheet'!Q931</f>
        <v>0</v>
      </c>
      <c r="E1361" s="1098">
        <f>'[15]Input Sheet'!R931</f>
        <v>7.077</v>
      </c>
      <c r="F1361" s="1131">
        <v>0</v>
      </c>
      <c r="G1361" s="333">
        <v>8.0879999999999992</v>
      </c>
    </row>
    <row r="1362" spans="1:7" x14ac:dyDescent="0.2">
      <c r="A1362" s="332">
        <f>+'[15]Input Sheet'!D932</f>
        <v>53396</v>
      </c>
      <c r="B1362" s="433" t="s">
        <v>2055</v>
      </c>
      <c r="C1362" s="1098"/>
      <c r="D1362" s="1098">
        <f>'[15]Input Sheet'!Q932</f>
        <v>0</v>
      </c>
      <c r="E1362" s="1098">
        <f>'[15]Input Sheet'!R932</f>
        <v>8.1424112999999991</v>
      </c>
      <c r="F1362" s="1131">
        <v>0</v>
      </c>
      <c r="G1362" s="333">
        <v>6.2698365999999996</v>
      </c>
    </row>
    <row r="1363" spans="1:7" x14ac:dyDescent="0.2">
      <c r="A1363" s="332">
        <f>+'[15]Input Sheet'!D933</f>
        <v>53397</v>
      </c>
      <c r="B1363" s="433" t="s">
        <v>2056</v>
      </c>
      <c r="C1363" s="1098"/>
      <c r="D1363" s="1098">
        <f>'[15]Input Sheet'!Q933</f>
        <v>0</v>
      </c>
      <c r="E1363" s="1098">
        <f>'[15]Input Sheet'!R933</f>
        <v>7.2876124000000004</v>
      </c>
      <c r="F1363" s="1131">
        <v>0</v>
      </c>
      <c r="G1363" s="333">
        <v>2.6621679999999999</v>
      </c>
    </row>
    <row r="1364" spans="1:7" x14ac:dyDescent="0.2">
      <c r="A1364" s="332">
        <f>+'[15]Input Sheet'!D934</f>
        <v>53398</v>
      </c>
      <c r="B1364" s="433" t="s">
        <v>2057</v>
      </c>
      <c r="C1364" s="1098"/>
      <c r="D1364" s="1098">
        <f>'[15]Input Sheet'!Q934</f>
        <v>0</v>
      </c>
      <c r="E1364" s="1098">
        <f>'[15]Input Sheet'!R934</f>
        <v>5.9225671000000002</v>
      </c>
      <c r="F1364" s="1131">
        <v>0</v>
      </c>
      <c r="G1364" s="333">
        <v>2.9653882999999999</v>
      </c>
    </row>
    <row r="1365" spans="1:7" x14ac:dyDescent="0.2">
      <c r="A1365" s="332">
        <f>+'[15]Input Sheet'!D935</f>
        <v>53399</v>
      </c>
      <c r="B1365" s="433" t="s">
        <v>2058</v>
      </c>
      <c r="C1365" s="1098"/>
      <c r="D1365" s="1098">
        <f>'[15]Input Sheet'!Q935</f>
        <v>0</v>
      </c>
      <c r="E1365" s="1098">
        <f>'[15]Input Sheet'!R935</f>
        <v>1.734</v>
      </c>
      <c r="F1365" s="1131">
        <v>0</v>
      </c>
      <c r="G1365" s="333">
        <v>0.98624480000000003</v>
      </c>
    </row>
    <row r="1366" spans="1:7" x14ac:dyDescent="0.2">
      <c r="A1366" s="332">
        <f>+'[15]Input Sheet'!D936</f>
        <v>53400</v>
      </c>
      <c r="B1366" s="432" t="s">
        <v>2059</v>
      </c>
      <c r="C1366" s="1098"/>
      <c r="D1366" s="1098">
        <f>'[15]Input Sheet'!Q936</f>
        <v>0</v>
      </c>
      <c r="E1366" s="1098">
        <f>'[15]Input Sheet'!R936</f>
        <v>7.5960000000000001</v>
      </c>
      <c r="F1366" s="1131">
        <v>0</v>
      </c>
      <c r="G1366" s="333">
        <v>7.7460200000000007E-2</v>
      </c>
    </row>
    <row r="1367" spans="1:7" x14ac:dyDescent="0.2">
      <c r="A1367" s="332">
        <f>+'[15]Input Sheet'!D999</f>
        <v>53551</v>
      </c>
      <c r="B1367" s="432" t="s">
        <v>2060</v>
      </c>
      <c r="C1367" s="1098"/>
      <c r="D1367" s="1098">
        <f>'[15]Input Sheet'!Q999</f>
        <v>0</v>
      </c>
      <c r="E1367" s="1098">
        <f>'[15]Input Sheet'!R999</f>
        <v>10.527815199999999</v>
      </c>
      <c r="F1367" s="1131">
        <v>0</v>
      </c>
      <c r="G1367" s="333">
        <v>5.9998702000000002</v>
      </c>
    </row>
    <row r="1368" spans="1:7" x14ac:dyDescent="0.2">
      <c r="A1368" s="332">
        <f>+'[15]Input Sheet'!D1000</f>
        <v>53552</v>
      </c>
      <c r="B1368" s="432" t="s">
        <v>2061</v>
      </c>
      <c r="C1368" s="1098"/>
      <c r="D1368" s="1098">
        <f>'[15]Input Sheet'!Q1000</f>
        <v>0</v>
      </c>
      <c r="E1368" s="1098">
        <f>'[15]Input Sheet'!R1000</f>
        <v>9.0939999999999994</v>
      </c>
      <c r="F1368" s="1131">
        <v>0</v>
      </c>
      <c r="G1368" s="333">
        <v>0</v>
      </c>
    </row>
    <row r="1369" spans="1:7" x14ac:dyDescent="0.2">
      <c r="A1369" s="332">
        <f>+'[15]Input Sheet'!D1001</f>
        <v>53553</v>
      </c>
      <c r="B1369" s="432" t="s">
        <v>2062</v>
      </c>
      <c r="C1369" s="1098"/>
      <c r="D1369" s="1098">
        <f>'[15]Input Sheet'!Q1001</f>
        <v>0</v>
      </c>
      <c r="E1369" s="1098">
        <f>'[15]Input Sheet'!R1001</f>
        <v>9.9644162999999999</v>
      </c>
      <c r="F1369" s="1131">
        <v>0</v>
      </c>
      <c r="G1369" s="333">
        <v>5.9961298999999997</v>
      </c>
    </row>
    <row r="1370" spans="1:7" x14ac:dyDescent="0.2">
      <c r="A1370" s="332">
        <f>+'[15]Input Sheet'!D1002</f>
        <v>53554</v>
      </c>
      <c r="B1370" s="432" t="s">
        <v>2063</v>
      </c>
      <c r="C1370" s="1098"/>
      <c r="D1370" s="1098">
        <f>'[15]Input Sheet'!Q1002</f>
        <v>0</v>
      </c>
      <c r="E1370" s="1098">
        <f>'[15]Input Sheet'!R1002</f>
        <v>13.536250000000001</v>
      </c>
      <c r="F1370" s="1131">
        <v>0</v>
      </c>
      <c r="G1370" s="333">
        <v>8.3332797000000003</v>
      </c>
    </row>
    <row r="1371" spans="1:7" x14ac:dyDescent="0.2">
      <c r="A1371" s="332">
        <f>+'[15]Input Sheet'!D1003</f>
        <v>53555</v>
      </c>
      <c r="B1371" s="432" t="s">
        <v>2064</v>
      </c>
      <c r="C1371" s="1098"/>
      <c r="D1371" s="1098">
        <f>'[15]Input Sheet'!Q1003</f>
        <v>0</v>
      </c>
      <c r="E1371" s="1098">
        <f>'[15]Input Sheet'!R1003</f>
        <v>8.6173044999999995</v>
      </c>
      <c r="F1371" s="1131">
        <v>0</v>
      </c>
      <c r="G1371" s="333">
        <v>0</v>
      </c>
    </row>
    <row r="1372" spans="1:7" x14ac:dyDescent="0.2">
      <c r="A1372" s="332">
        <f>+'[15]Input Sheet'!D1004</f>
        <v>53556</v>
      </c>
      <c r="B1372" s="432" t="s">
        <v>2065</v>
      </c>
      <c r="C1372" s="1098"/>
      <c r="D1372" s="1098">
        <f>'[15]Input Sheet'!Q1004</f>
        <v>0</v>
      </c>
      <c r="E1372" s="1098">
        <f>'[15]Input Sheet'!R1004</f>
        <v>17.277994700000001</v>
      </c>
      <c r="F1372" s="1131">
        <v>0</v>
      </c>
      <c r="G1372" s="333">
        <v>0</v>
      </c>
    </row>
    <row r="1373" spans="1:7" x14ac:dyDescent="0.2">
      <c r="A1373" s="332">
        <f>+'[15]Input Sheet'!D1005</f>
        <v>53557</v>
      </c>
      <c r="B1373" s="432" t="s">
        <v>2066</v>
      </c>
      <c r="C1373" s="1098"/>
      <c r="D1373" s="1098">
        <f>'[15]Input Sheet'!Q1005</f>
        <v>0</v>
      </c>
      <c r="E1373" s="1098">
        <f>'[15]Input Sheet'!R1005</f>
        <v>0</v>
      </c>
      <c r="F1373" s="1131">
        <v>0</v>
      </c>
      <c r="G1373" s="333">
        <v>0</v>
      </c>
    </row>
    <row r="1374" spans="1:7" x14ac:dyDescent="0.2">
      <c r="A1374" s="332">
        <f>+'[15]Input Sheet'!D1006</f>
        <v>53558</v>
      </c>
      <c r="B1374" s="432" t="s">
        <v>2067</v>
      </c>
      <c r="C1374" s="1098"/>
      <c r="D1374" s="1098">
        <f>'[15]Input Sheet'!Q1006</f>
        <v>0</v>
      </c>
      <c r="E1374" s="1098">
        <f>'[15]Input Sheet'!R1006</f>
        <v>0</v>
      </c>
      <c r="F1374" s="1131">
        <v>0</v>
      </c>
      <c r="G1374" s="333">
        <v>749.99999939999998</v>
      </c>
    </row>
    <row r="1375" spans="1:7" x14ac:dyDescent="0.2">
      <c r="A1375" s="332">
        <f>'[15]Input Sheet'!D1007</f>
        <v>53559</v>
      </c>
      <c r="B1375" s="433" t="str">
        <f>'[15]Input Sheet'!E1007</f>
        <v>REC LT-15090 (Bhusawal Repl)</v>
      </c>
      <c r="C1375" s="1098"/>
      <c r="D1375" s="1098">
        <f>'[15]Input Sheet'!Q1007</f>
        <v>0</v>
      </c>
      <c r="E1375" s="1098">
        <f>'[15]Input Sheet'!R1007</f>
        <v>57.145556599999999</v>
      </c>
    </row>
    <row r="1376" spans="1:7" x14ac:dyDescent="0.2">
      <c r="A1376" s="332">
        <f>+'[15]Input Sheet'!D1008</f>
        <v>53560</v>
      </c>
      <c r="B1376" s="432" t="s">
        <v>2068</v>
      </c>
      <c r="C1376" s="1098"/>
      <c r="D1376" s="1098">
        <f>'[15]Input Sheet'!Q1008</f>
        <v>0</v>
      </c>
      <c r="E1376" s="1098">
        <f>'[15]Input Sheet'!R1008</f>
        <v>480.4410962</v>
      </c>
      <c r="F1376" s="1131">
        <v>0</v>
      </c>
      <c r="G1376" s="333">
        <v>634.18224669999995</v>
      </c>
    </row>
    <row r="1377" spans="1:7" x14ac:dyDescent="0.2">
      <c r="A1377" s="332">
        <v>53562</v>
      </c>
      <c r="B1377" s="432" t="s">
        <v>2069</v>
      </c>
      <c r="C1377" s="1098"/>
      <c r="D1377" s="1098">
        <f>'[15]Input Sheet'!Q1009</f>
        <v>0</v>
      </c>
      <c r="E1377" s="1098">
        <f>'[15]Input Sheet'!R1009</f>
        <v>4.3018941999999996</v>
      </c>
      <c r="G1377" s="333">
        <v>0.57218080000000004</v>
      </c>
    </row>
    <row r="1378" spans="1:7" x14ac:dyDescent="0.2">
      <c r="A1378" s="332">
        <f>+'[15]Input Sheet'!D1010</f>
        <v>53563</v>
      </c>
      <c r="B1378" s="432" t="s">
        <v>2070</v>
      </c>
      <c r="C1378" s="1098"/>
      <c r="D1378" s="1098">
        <f>'[15]Input Sheet'!Q1010</f>
        <v>0</v>
      </c>
      <c r="E1378" s="1098">
        <f>'[15]Input Sheet'!R1010</f>
        <v>19.552467100000001</v>
      </c>
      <c r="F1378" s="1131">
        <v>0</v>
      </c>
      <c r="G1378" s="333">
        <v>4.3751243999999998</v>
      </c>
    </row>
    <row r="1379" spans="1:7" x14ac:dyDescent="0.2">
      <c r="A1379" s="332">
        <f>+'[15]Input Sheet'!D1011</f>
        <v>53566</v>
      </c>
      <c r="B1379" s="432" t="s">
        <v>2071</v>
      </c>
      <c r="C1379" s="1098"/>
      <c r="D1379" s="1098">
        <f>'[15]Input Sheet'!Q1011</f>
        <v>0</v>
      </c>
      <c r="E1379" s="1098">
        <f>'[15]Input Sheet'!R1011</f>
        <v>19.260000399999999</v>
      </c>
      <c r="F1379" s="1131">
        <v>0</v>
      </c>
      <c r="G1379" s="333">
        <v>10.7432196</v>
      </c>
    </row>
    <row r="1380" spans="1:7" x14ac:dyDescent="0.2">
      <c r="A1380" s="332">
        <v>53568</v>
      </c>
      <c r="B1380" s="432" t="s">
        <v>2072</v>
      </c>
      <c r="C1380" s="1098"/>
      <c r="D1380" s="1098">
        <f>'[15]Input Sheet'!Q1012</f>
        <v>0</v>
      </c>
      <c r="E1380" s="1098">
        <f>'[15]Input Sheet'!R1012</f>
        <v>9.18</v>
      </c>
    </row>
    <row r="1381" spans="1:7" x14ac:dyDescent="0.2">
      <c r="A1381" s="332">
        <v>53569</v>
      </c>
      <c r="B1381" s="432" t="s">
        <v>2073</v>
      </c>
      <c r="C1381" s="1098"/>
      <c r="D1381" s="1098">
        <f>'[15]Input Sheet'!Q1013</f>
        <v>0</v>
      </c>
      <c r="E1381" s="1098">
        <f>'[15]Input Sheet'!R1013</f>
        <v>1.2502884999999999</v>
      </c>
    </row>
    <row r="1382" spans="1:7" x14ac:dyDescent="0.2">
      <c r="A1382" s="332">
        <f>'[15]Input Sheet'!D1014</f>
        <v>53571</v>
      </c>
      <c r="B1382" s="432" t="str">
        <f>'[15]Input Sheet'!E1014</f>
        <v>REC LT-15060(Capex-Khaperkheda TPS)</v>
      </c>
      <c r="C1382" s="1098"/>
      <c r="D1382" s="1098">
        <f>'[15]Input Sheet'!Q1014</f>
        <v>0</v>
      </c>
      <c r="E1382" s="1098">
        <f>'[15]Input Sheet'!R1014</f>
        <v>10.7826948</v>
      </c>
    </row>
    <row r="1383" spans="1:7" x14ac:dyDescent="0.2">
      <c r="A1383" s="332">
        <v>53572</v>
      </c>
      <c r="B1383" s="432" t="s">
        <v>2074</v>
      </c>
      <c r="C1383" s="1098"/>
      <c r="D1383" s="1098">
        <f>'[15]Input Sheet'!Q1015</f>
        <v>0</v>
      </c>
      <c r="E1383" s="1098">
        <f>'[15]Input Sheet'!R1015</f>
        <v>8.3715624999999996</v>
      </c>
      <c r="G1383" s="333">
        <v>9.0299999999999994</v>
      </c>
    </row>
    <row r="1384" spans="1:7" x14ac:dyDescent="0.2">
      <c r="A1384" s="332">
        <v>53574</v>
      </c>
      <c r="B1384" s="432" t="s">
        <v>2075</v>
      </c>
      <c r="C1384" s="1098"/>
      <c r="D1384" s="1098">
        <f>'[15]Input Sheet'!Q1016</f>
        <v>0</v>
      </c>
      <c r="E1384" s="1098">
        <f>'[15]Input Sheet'!R1016</f>
        <v>12.048</v>
      </c>
      <c r="G1384" s="333">
        <v>12.048</v>
      </c>
    </row>
    <row r="1385" spans="1:7" x14ac:dyDescent="0.2">
      <c r="A1385" s="332">
        <v>53575</v>
      </c>
      <c r="B1385" s="432" t="s">
        <v>2076</v>
      </c>
      <c r="C1385" s="1098"/>
      <c r="D1385" s="1098">
        <f>'[15]Input Sheet'!Q1017</f>
        <v>0</v>
      </c>
      <c r="E1385" s="1098">
        <f>'[15]Input Sheet'!R1017</f>
        <v>8.1803331999999997</v>
      </c>
      <c r="G1385" s="333">
        <v>4.3292536000000004</v>
      </c>
    </row>
    <row r="1386" spans="1:7" x14ac:dyDescent="0.2">
      <c r="A1386" s="332">
        <v>53576</v>
      </c>
      <c r="B1386" s="432" t="s">
        <v>2077</v>
      </c>
      <c r="C1386" s="1098"/>
      <c r="D1386" s="1098">
        <f>'[15]Input Sheet'!Q1018</f>
        <v>0</v>
      </c>
      <c r="E1386" s="1098">
        <f>'[15]Input Sheet'!R1018</f>
        <v>7.7531669000000001</v>
      </c>
      <c r="G1386" s="333">
        <v>5.0224979000000003</v>
      </c>
    </row>
    <row r="1387" spans="1:7" x14ac:dyDescent="0.2">
      <c r="A1387" s="332">
        <v>53580</v>
      </c>
      <c r="B1387" s="432" t="s">
        <v>2078</v>
      </c>
      <c r="C1387" s="1098"/>
      <c r="D1387" s="1098">
        <f>'[15]Input Sheet'!Q1019</f>
        <v>0</v>
      </c>
      <c r="E1387" s="1098">
        <f>'[15]Input Sheet'!R1019</f>
        <v>7.8188370000000003</v>
      </c>
    </row>
    <row r="1388" spans="1:7" x14ac:dyDescent="0.2">
      <c r="A1388" s="332">
        <v>53581</v>
      </c>
      <c r="B1388" s="432" t="s">
        <v>2079</v>
      </c>
      <c r="C1388" s="1098"/>
      <c r="D1388" s="1098">
        <f>'[15]Input Sheet'!Q1020</f>
        <v>0</v>
      </c>
      <c r="E1388" s="1098">
        <f>'[15]Input Sheet'!R1020</f>
        <v>4.0413686999999996</v>
      </c>
    </row>
    <row r="1389" spans="1:7" x14ac:dyDescent="0.2">
      <c r="A1389" s="332">
        <f>+'[15]Input Sheet'!D1021</f>
        <v>53584</v>
      </c>
      <c r="B1389" s="432" t="s">
        <v>2080</v>
      </c>
      <c r="C1389" s="1098"/>
      <c r="D1389" s="1098">
        <f>'[15]Input Sheet'!Q1021</f>
        <v>0</v>
      </c>
      <c r="E1389" s="1098">
        <f>'[15]Input Sheet'!R1021</f>
        <v>5.8583692000000003</v>
      </c>
      <c r="F1389" s="1131">
        <v>0</v>
      </c>
      <c r="G1389" s="333">
        <v>5.6933172000000001</v>
      </c>
    </row>
    <row r="1390" spans="1:7" x14ac:dyDescent="0.2">
      <c r="A1390" s="332">
        <v>53585</v>
      </c>
      <c r="B1390" s="432" t="s">
        <v>2081</v>
      </c>
      <c r="C1390" s="1098"/>
      <c r="D1390" s="1098">
        <f>'[15]Input Sheet'!Q1022</f>
        <v>0</v>
      </c>
      <c r="E1390" s="1098">
        <f>'[15]Input Sheet'!R1022</f>
        <v>16.427396000000002</v>
      </c>
      <c r="G1390" s="333">
        <v>17.329999999999998</v>
      </c>
    </row>
    <row r="1391" spans="1:7" x14ac:dyDescent="0.2">
      <c r="A1391" s="332">
        <v>53587</v>
      </c>
      <c r="B1391" s="432" t="s">
        <v>2082</v>
      </c>
      <c r="C1391" s="1098"/>
      <c r="D1391" s="1098">
        <f>'[15]Input Sheet'!Q1023</f>
        <v>0</v>
      </c>
      <c r="E1391" s="1098">
        <f>'[15]Input Sheet'!R1023</f>
        <v>11.7230002</v>
      </c>
      <c r="G1391" s="333">
        <v>2.6727097999999998</v>
      </c>
    </row>
    <row r="1392" spans="1:7" x14ac:dyDescent="0.2">
      <c r="A1392" s="332">
        <v>53588</v>
      </c>
      <c r="B1392" s="432" t="s">
        <v>2083</v>
      </c>
      <c r="C1392" s="1098"/>
      <c r="D1392" s="1098">
        <f>'[15]Input Sheet'!Q1024</f>
        <v>0</v>
      </c>
      <c r="E1392" s="1098">
        <f>'[15]Input Sheet'!R1024</f>
        <v>8.52</v>
      </c>
      <c r="G1392" s="333">
        <v>2.16</v>
      </c>
    </row>
    <row r="1393" spans="1:12" x14ac:dyDescent="0.2">
      <c r="A1393" s="332">
        <v>53590</v>
      </c>
      <c r="B1393" s="432" t="s">
        <v>2084</v>
      </c>
      <c r="C1393" s="1098"/>
      <c r="D1393" s="1098">
        <f>'[15]Input Sheet'!Q1025</f>
        <v>0</v>
      </c>
      <c r="E1393" s="1098">
        <f>'[15]Input Sheet'!R1025</f>
        <v>2.8145699999999998</v>
      </c>
    </row>
    <row r="1394" spans="1:12" x14ac:dyDescent="0.2">
      <c r="A1394" s="332">
        <f>+'[15]Input Sheet'!D1026</f>
        <v>53591</v>
      </c>
      <c r="B1394" s="432" t="s">
        <v>2085</v>
      </c>
      <c r="C1394" s="1098"/>
      <c r="D1394" s="1098">
        <f>'[15]Input Sheet'!Q1026</f>
        <v>0</v>
      </c>
      <c r="E1394" s="1098">
        <f>'[15]Input Sheet'!R1026</f>
        <v>-7.9999999999999996E-7</v>
      </c>
      <c r="F1394" s="1131">
        <v>0</v>
      </c>
      <c r="G1394" s="333">
        <v>1000</v>
      </c>
    </row>
    <row r="1395" spans="1:12" x14ac:dyDescent="0.2">
      <c r="A1395" s="332">
        <v>53592</v>
      </c>
      <c r="B1395" s="432" t="s">
        <v>2086</v>
      </c>
      <c r="C1395" s="1098"/>
      <c r="D1395" s="1098">
        <f>'[15]Input Sheet'!Q1027</f>
        <v>0</v>
      </c>
      <c r="E1395" s="1098">
        <f>'[15]Input Sheet'!R1027</f>
        <v>938.07950470000003</v>
      </c>
      <c r="G1395" s="333">
        <v>999.99945130000003</v>
      </c>
    </row>
    <row r="1396" spans="1:12" x14ac:dyDescent="0.2">
      <c r="A1396" s="332">
        <v>53593</v>
      </c>
      <c r="B1396" s="432" t="s">
        <v>2087</v>
      </c>
      <c r="C1396" s="1098"/>
      <c r="D1396" s="1098">
        <f>'[15]Input Sheet'!Q1028</f>
        <v>0</v>
      </c>
      <c r="E1396" s="1098">
        <f>'[15]Input Sheet'!R1028</f>
        <v>0.17399999999999999</v>
      </c>
      <c r="G1396" s="333">
        <v>0.17399999999999999</v>
      </c>
    </row>
    <row r="1397" spans="1:12" x14ac:dyDescent="0.2">
      <c r="A1397" s="332">
        <v>53594</v>
      </c>
      <c r="B1397" s="432" t="s">
        <v>2088</v>
      </c>
      <c r="C1397" s="1098"/>
      <c r="D1397" s="1098">
        <f>'[15]Input Sheet'!Q1029</f>
        <v>0</v>
      </c>
      <c r="E1397" s="1098">
        <f>'[15]Input Sheet'!R1029</f>
        <v>1800</v>
      </c>
    </row>
    <row r="1398" spans="1:12" x14ac:dyDescent="0.2">
      <c r="A1398" s="332">
        <v>53595</v>
      </c>
      <c r="B1398" s="432" t="s">
        <v>2089</v>
      </c>
      <c r="C1398" s="1098"/>
      <c r="D1398" s="1098">
        <f>'[15]Input Sheet'!Q1030</f>
        <v>0</v>
      </c>
      <c r="E1398" s="1098">
        <f>'[15]Input Sheet'!R1030</f>
        <v>1799.9999909999999</v>
      </c>
    </row>
    <row r="1399" spans="1:12" x14ac:dyDescent="0.2">
      <c r="A1399" s="332">
        <v>53600</v>
      </c>
      <c r="B1399" s="432" t="s">
        <v>2090</v>
      </c>
      <c r="C1399" s="1098"/>
      <c r="D1399" s="1098">
        <f>'[15]Input Sheet'!Q1031</f>
        <v>0</v>
      </c>
      <c r="E1399" s="1098">
        <f>'[15]Input Sheet'!R1031</f>
        <v>500</v>
      </c>
    </row>
    <row r="1400" spans="1:12" x14ac:dyDescent="0.2">
      <c r="B1400" s="434" t="s">
        <v>92</v>
      </c>
      <c r="C1400" s="1142"/>
      <c r="D1400" s="1174">
        <f>SUM(D1267:D1399)</f>
        <v>0</v>
      </c>
      <c r="E1400" s="1174">
        <f>SUM(E1267:E1399)</f>
        <v>16304.808480099991</v>
      </c>
      <c r="F1400" s="1174">
        <f>SUM(F1267:F1399)</f>
        <v>0</v>
      </c>
      <c r="G1400" s="1174">
        <f>SUM(G1267:G1399)</f>
        <v>14636.14547590001</v>
      </c>
    </row>
    <row r="1401" spans="1:12" x14ac:dyDescent="0.2">
      <c r="C1401" s="1098"/>
      <c r="D1401" s="1098"/>
    </row>
    <row r="1402" spans="1:12" x14ac:dyDescent="0.2">
      <c r="C1402" s="1098"/>
      <c r="D1402" s="1098"/>
    </row>
    <row r="1403" spans="1:12" x14ac:dyDescent="0.2">
      <c r="B1403" s="435"/>
      <c r="C1403" s="1177"/>
      <c r="D1403" s="1098"/>
    </row>
    <row r="1404" spans="1:12" ht="14.25" x14ac:dyDescent="0.2">
      <c r="B1404" s="436"/>
      <c r="C1404" s="1178"/>
      <c r="D1404" s="1179"/>
      <c r="E1404" s="736"/>
    </row>
    <row r="1405" spans="1:12" x14ac:dyDescent="0.2">
      <c r="C1405" s="1098"/>
      <c r="D1405" s="1098"/>
    </row>
    <row r="1406" spans="1:12" x14ac:dyDescent="0.2">
      <c r="C1406" s="1098"/>
      <c r="D1406" s="1098"/>
    </row>
    <row r="1407" spans="1:12" x14ac:dyDescent="0.2">
      <c r="C1407" s="1098"/>
      <c r="D1407" s="1098"/>
      <c r="F1407" s="1180"/>
      <c r="G1407" s="437"/>
      <c r="H1407" s="437"/>
      <c r="I1407" s="437"/>
      <c r="J1407" s="437"/>
      <c r="K1407" s="437"/>
      <c r="L1407" s="437"/>
    </row>
    <row r="1408" spans="1:12" x14ac:dyDescent="0.2">
      <c r="C1408" s="1098"/>
      <c r="D1408" s="1098"/>
      <c r="F1408" s="1180"/>
      <c r="G1408" s="437"/>
      <c r="H1408" s="437"/>
      <c r="I1408" s="437"/>
      <c r="J1408" s="437"/>
      <c r="K1408" s="437"/>
      <c r="L1408" s="437"/>
    </row>
    <row r="1409" spans="3:17" x14ac:dyDescent="0.2">
      <c r="C1409" s="1098"/>
      <c r="D1409" s="1098"/>
      <c r="F1409" s="1181">
        <v>99101</v>
      </c>
      <c r="G1409" s="438" t="s">
        <v>92</v>
      </c>
      <c r="H1409" s="439" t="s">
        <v>2091</v>
      </c>
      <c r="I1409" s="440" t="s">
        <v>2092</v>
      </c>
      <c r="J1409" s="441"/>
      <c r="K1409" s="442" t="s">
        <v>2093</v>
      </c>
      <c r="L1409" s="443" t="s">
        <v>2092</v>
      </c>
    </row>
    <row r="1410" spans="3:17" x14ac:dyDescent="0.2">
      <c r="C1410" s="1098"/>
      <c r="D1410" s="1098"/>
      <c r="F1410" s="1182" t="s">
        <v>2094</v>
      </c>
      <c r="G1410" s="438">
        <f>+G1416-G1415-G1414-G1411</f>
        <v>642.77059082899996</v>
      </c>
      <c r="H1410" s="438">
        <f>+G1410-K1410</f>
        <v>408.85345701</v>
      </c>
      <c r="I1410" s="444"/>
      <c r="J1410" s="444"/>
      <c r="K1410" s="438">
        <f>-L1410</f>
        <v>233.91713381899996</v>
      </c>
      <c r="L1410" s="445">
        <f>-'[15]Input Sheet'!Q508-'[15]Balance sheet groupings'!I1415-'[15]Balance sheet groupings'!I1422-L1415</f>
        <v>-233.91713381899996</v>
      </c>
    </row>
    <row r="1411" spans="3:17" ht="25.5" x14ac:dyDescent="0.2">
      <c r="C1411" s="1098"/>
      <c r="D1411" s="1098"/>
      <c r="F1411" s="1183" t="s">
        <v>2095</v>
      </c>
      <c r="G1411" s="447">
        <v>142</v>
      </c>
      <c r="H1411" s="446">
        <f>+G1411-K1411</f>
        <v>0</v>
      </c>
      <c r="I1411" s="437"/>
      <c r="J1411" s="437"/>
      <c r="K1411" s="446">
        <f>+G1411</f>
        <v>142</v>
      </c>
      <c r="L1411" s="448">
        <f>-'[15]Input Sheet'!G651</f>
        <v>-76.211765499999998</v>
      </c>
      <c r="N1411" s="449">
        <v>46431</v>
      </c>
      <c r="O1411" s="342">
        <f>+'[15]Input Sheet'!G651</f>
        <v>76.211765499999998</v>
      </c>
      <c r="P1411" s="360">
        <f>+L1411+O1411</f>
        <v>0</v>
      </c>
    </row>
    <row r="1412" spans="3:17" ht="38.25" x14ac:dyDescent="0.2">
      <c r="C1412" s="1098"/>
      <c r="D1412" s="1098"/>
      <c r="F1412" s="1183" t="s">
        <v>2096</v>
      </c>
      <c r="G1412" s="447">
        <f>-657882345/10^7</f>
        <v>-65.788234500000002</v>
      </c>
      <c r="H1412" s="446"/>
      <c r="I1412" s="437"/>
      <c r="J1412" s="437"/>
      <c r="K1412" s="446">
        <f>+G1412</f>
        <v>-65.788234500000002</v>
      </c>
      <c r="L1412" s="448"/>
      <c r="N1412" s="449"/>
      <c r="O1412" s="342"/>
      <c r="P1412" s="360"/>
    </row>
    <row r="1413" spans="3:17" ht="25.5" x14ac:dyDescent="0.2">
      <c r="C1413" s="1098"/>
      <c r="D1413" s="1098"/>
      <c r="F1413" s="1183" t="s">
        <v>2095</v>
      </c>
      <c r="G1413" s="447">
        <f>+G1411+G1412</f>
        <v>76.211765499999998</v>
      </c>
      <c r="H1413" s="446"/>
      <c r="I1413" s="437"/>
      <c r="J1413" s="437"/>
      <c r="K1413" s="447">
        <f>+K1411+K1412</f>
        <v>76.211765499999998</v>
      </c>
      <c r="L1413" s="448">
        <f>+L1411</f>
        <v>-76.211765499999998</v>
      </c>
      <c r="N1413" s="449"/>
      <c r="O1413" s="342"/>
      <c r="P1413" s="360"/>
    </row>
    <row r="1414" spans="3:17" x14ac:dyDescent="0.2">
      <c r="C1414" s="1098"/>
      <c r="D1414" s="1098"/>
      <c r="F1414" s="1184" t="s">
        <v>501</v>
      </c>
      <c r="G1414" s="450">
        <v>0</v>
      </c>
      <c r="H1414" s="446">
        <f>+G1414</f>
        <v>0</v>
      </c>
      <c r="I1414" s="437"/>
      <c r="J1414" s="437"/>
      <c r="K1414" s="446"/>
      <c r="L1414" s="451"/>
    </row>
    <row r="1415" spans="3:17" x14ac:dyDescent="0.2">
      <c r="C1415" s="1098"/>
      <c r="D1415" s="1098"/>
      <c r="F1415" s="1185" t="s">
        <v>2097</v>
      </c>
      <c r="G1415" s="452">
        <f>2052879151.84/10^7</f>
        <v>205.28791518399998</v>
      </c>
      <c r="H1415" s="453">
        <f>+G1415-K1415</f>
        <v>1.6928646179999873</v>
      </c>
      <c r="I1415" s="454"/>
      <c r="J1415" s="455"/>
      <c r="K1415" s="453">
        <f>-L1415</f>
        <v>203.595050566</v>
      </c>
      <c r="L1415" s="456">
        <f>-(90.02996409+72.8450537+250855051.48/10^7+156345276.28/10^7)</f>
        <v>-203.595050566</v>
      </c>
      <c r="N1415" s="163" t="s">
        <v>2098</v>
      </c>
      <c r="O1415" s="333">
        <f>SUM(I1410:I1415)+SUM(L1410)+I1422</f>
        <v>-417.59819086999994</v>
      </c>
    </row>
    <row r="1416" spans="3:17" x14ac:dyDescent="0.2">
      <c r="C1416" s="1098"/>
      <c r="D1416" s="1098"/>
      <c r="F1416" s="1186"/>
      <c r="G1416" s="442">
        <f>+'[15]Input Sheet'!G1348</f>
        <v>990.05850601299994</v>
      </c>
      <c r="H1416" s="442"/>
      <c r="I1416" s="454"/>
      <c r="J1416" s="441"/>
      <c r="K1416" s="442"/>
      <c r="L1416" s="456" t="s">
        <v>2098</v>
      </c>
      <c r="N1416" s="457">
        <v>27900</v>
      </c>
      <c r="O1416" s="458">
        <f>+'[15]Input Sheet'!G508</f>
        <v>621.19324143599999</v>
      </c>
    </row>
    <row r="1417" spans="3:17" x14ac:dyDescent="0.2">
      <c r="C1417" s="1098"/>
      <c r="D1417" s="1098"/>
      <c r="F1417" s="1180"/>
      <c r="G1417" s="437"/>
      <c r="H1417" s="437"/>
      <c r="I1417" s="437"/>
      <c r="J1417" s="437"/>
      <c r="K1417" s="437"/>
      <c r="L1417" s="437"/>
      <c r="O1417" s="194">
        <f>+O1416+O1415</f>
        <v>203.59505056600005</v>
      </c>
    </row>
    <row r="1418" spans="3:17" x14ac:dyDescent="0.2">
      <c r="C1418" s="1098"/>
      <c r="D1418" s="1098"/>
      <c r="F1418" s="1180"/>
      <c r="G1418" s="437"/>
      <c r="H1418" s="437"/>
      <c r="I1418" s="437"/>
      <c r="J1418" s="437"/>
      <c r="K1418" s="437"/>
      <c r="L1418" s="437"/>
    </row>
    <row r="1419" spans="3:17" x14ac:dyDescent="0.2">
      <c r="C1419" s="1098"/>
      <c r="D1419" s="1098"/>
      <c r="F1419" s="1180"/>
      <c r="G1419" s="437"/>
      <c r="H1419" s="437"/>
      <c r="I1419" s="437"/>
      <c r="J1419" s="437"/>
      <c r="K1419" s="437"/>
      <c r="L1419" s="437"/>
    </row>
    <row r="1420" spans="3:17" x14ac:dyDescent="0.2">
      <c r="C1420" s="1098"/>
      <c r="D1420" s="1098"/>
      <c r="F1420" s="1180"/>
      <c r="G1420" s="437"/>
      <c r="H1420" s="437"/>
      <c r="I1420" s="437"/>
      <c r="J1420" s="437"/>
      <c r="K1420" s="437"/>
      <c r="L1420" s="437"/>
      <c r="Q1420" s="163">
        <v>-97.487141800000003</v>
      </c>
    </row>
    <row r="1421" spans="3:17" x14ac:dyDescent="0.2">
      <c r="C1421" s="1098"/>
      <c r="D1421" s="1098"/>
      <c r="F1421" s="1187">
        <v>99205</v>
      </c>
      <c r="G1421" s="438"/>
      <c r="H1421" s="444"/>
      <c r="I1421" s="459" t="s">
        <v>2098</v>
      </c>
      <c r="J1421" s="444"/>
      <c r="K1421" s="438"/>
      <c r="L1421" s="460" t="s">
        <v>2099</v>
      </c>
      <c r="N1421" s="163" t="s">
        <v>2099</v>
      </c>
      <c r="O1421" s="333">
        <f>+L1422</f>
        <v>0</v>
      </c>
      <c r="Q1421" s="194">
        <f>Q1420-O1417</f>
        <v>-301.08219236600007</v>
      </c>
    </row>
    <row r="1422" spans="3:17" x14ac:dyDescent="0.2">
      <c r="C1422" s="1098"/>
      <c r="D1422" s="1098">
        <f>-401635350.51/10^7</f>
        <v>-40.163535050999997</v>
      </c>
      <c r="F1422" s="1188" t="s">
        <v>2100</v>
      </c>
      <c r="G1422" s="453">
        <f>'[15]Input Sheet'!Q1369</f>
        <v>25980.932014684</v>
      </c>
      <c r="H1422" s="455">
        <f>+G1422-K1422</f>
        <v>25980.932014684</v>
      </c>
      <c r="I1422" s="459">
        <f>-(401635350.51+1269820335+ 165354885)/10^7</f>
        <v>-183.68105705100001</v>
      </c>
      <c r="J1422" s="455"/>
      <c r="K1422" s="453">
        <f>'[15]Input Sheet'!R1369</f>
        <v>0</v>
      </c>
      <c r="L1422" s="461">
        <f>-'[15]Input Sheet'!G510</f>
        <v>0</v>
      </c>
      <c r="N1422" s="462">
        <v>27902</v>
      </c>
      <c r="O1422" s="463">
        <f>+'[15]Input Sheet'!G510</f>
        <v>0</v>
      </c>
    </row>
    <row r="1423" spans="3:17" x14ac:dyDescent="0.2">
      <c r="C1423" s="1098"/>
      <c r="D1423" s="1098"/>
      <c r="F1423" s="1180"/>
      <c r="G1423" s="437"/>
      <c r="H1423" s="437"/>
      <c r="I1423" s="437"/>
      <c r="J1423" s="437"/>
      <c r="K1423" s="437"/>
      <c r="L1423" s="437"/>
      <c r="O1423" s="333">
        <f>+O1421+O1422</f>
        <v>0</v>
      </c>
    </row>
    <row r="1424" spans="3:17" x14ac:dyDescent="0.2">
      <c r="C1424" s="1098"/>
      <c r="D1424" s="1098"/>
      <c r="F1424" s="1180"/>
      <c r="G1424" s="437"/>
      <c r="H1424" s="437"/>
      <c r="I1424" s="437"/>
      <c r="J1424" s="437"/>
      <c r="K1424" s="437"/>
      <c r="L1424" s="437"/>
    </row>
    <row r="1425" spans="3:12" x14ac:dyDescent="0.2">
      <c r="C1425" s="1098"/>
      <c r="D1425" s="1098"/>
      <c r="F1425" s="1189" t="s">
        <v>2101</v>
      </c>
      <c r="G1425" s="437"/>
      <c r="H1425" s="437"/>
      <c r="I1425" s="437"/>
      <c r="J1425" s="437"/>
      <c r="K1425" s="437"/>
      <c r="L1425" s="437"/>
    </row>
    <row r="1426" spans="3:12" ht="25.5" x14ac:dyDescent="0.2">
      <c r="C1426" s="1098"/>
      <c r="D1426" s="1098"/>
      <c r="E1426" s="1190"/>
      <c r="F1426" s="1191" t="s">
        <v>1109</v>
      </c>
      <c r="G1426" s="438"/>
      <c r="H1426" s="444"/>
      <c r="I1426" s="444"/>
      <c r="J1426" s="444"/>
      <c r="K1426" s="438"/>
      <c r="L1426" s="464"/>
    </row>
    <row r="1427" spans="3:12" ht="51" x14ac:dyDescent="0.2">
      <c r="C1427" s="1098"/>
      <c r="D1427" s="1098"/>
      <c r="E1427" s="1192">
        <v>20001</v>
      </c>
      <c r="F1427" s="1193" t="s">
        <v>1110</v>
      </c>
      <c r="G1427" s="446">
        <f>+'[15]Input Sheet'!G86</f>
        <v>0.05</v>
      </c>
      <c r="H1427" s="437"/>
      <c r="I1427" s="437"/>
      <c r="J1427" s="437"/>
      <c r="K1427" s="446">
        <f>+G1427</f>
        <v>0.05</v>
      </c>
      <c r="L1427" s="451"/>
    </row>
    <row r="1428" spans="3:12" ht="25.5" x14ac:dyDescent="0.2">
      <c r="C1428" s="1098"/>
      <c r="D1428" s="1098"/>
      <c r="E1428" s="1192">
        <v>20002</v>
      </c>
      <c r="F1428" s="1194" t="s">
        <v>1111</v>
      </c>
      <c r="G1428" s="446">
        <f>+'[15]Input Sheet'!G87</f>
        <v>0.05</v>
      </c>
      <c r="H1428" s="437"/>
      <c r="I1428" s="437"/>
      <c r="J1428" s="437"/>
      <c r="K1428" s="446">
        <f t="shared" ref="K1428:K1432" si="1">+G1428</f>
        <v>0.05</v>
      </c>
      <c r="L1428" s="451">
        <f>-K1428</f>
        <v>-0.05</v>
      </c>
    </row>
    <row r="1429" spans="3:12" x14ac:dyDescent="0.2">
      <c r="C1429" s="1098"/>
      <c r="D1429" s="1098"/>
      <c r="E1429" s="1192">
        <v>20201</v>
      </c>
      <c r="F1429" s="1194" t="s">
        <v>1112</v>
      </c>
      <c r="G1429" s="446">
        <f>+'[15]Input Sheet'!G88</f>
        <v>0.03</v>
      </c>
      <c r="H1429" s="437"/>
      <c r="I1429" s="437"/>
      <c r="J1429" s="437"/>
      <c r="K1429" s="446">
        <f t="shared" si="1"/>
        <v>0.03</v>
      </c>
      <c r="L1429" s="451">
        <f t="shared" ref="L1429:L1432" si="2">-K1429</f>
        <v>-0.03</v>
      </c>
    </row>
    <row r="1430" spans="3:12" x14ac:dyDescent="0.2">
      <c r="C1430" s="1098"/>
      <c r="D1430" s="1098"/>
      <c r="E1430" s="1192">
        <v>20202</v>
      </c>
      <c r="F1430" s="1194" t="s">
        <v>1113</v>
      </c>
      <c r="G1430" s="446">
        <f>+'[15]Input Sheet'!G89</f>
        <v>0.03</v>
      </c>
      <c r="H1430" s="437"/>
      <c r="I1430" s="437"/>
      <c r="J1430" s="437"/>
      <c r="K1430" s="446">
        <f t="shared" si="1"/>
        <v>0.03</v>
      </c>
      <c r="L1430" s="451">
        <f t="shared" si="2"/>
        <v>-0.03</v>
      </c>
    </row>
    <row r="1431" spans="3:12" x14ac:dyDescent="0.2">
      <c r="C1431" s="1098"/>
      <c r="D1431" s="1098"/>
      <c r="E1431" s="1192">
        <v>20203</v>
      </c>
      <c r="F1431" s="1195" t="s">
        <v>1114</v>
      </c>
      <c r="G1431" s="446">
        <f>+'[15]Input Sheet'!G90</f>
        <v>0</v>
      </c>
      <c r="H1431" s="437"/>
      <c r="I1431" s="437"/>
      <c r="J1431" s="437"/>
      <c r="K1431" s="446">
        <f t="shared" si="1"/>
        <v>0</v>
      </c>
      <c r="L1431" s="451">
        <f t="shared" si="2"/>
        <v>0</v>
      </c>
    </row>
    <row r="1432" spans="3:12" x14ac:dyDescent="0.2">
      <c r="C1432" s="1098"/>
      <c r="D1432" s="1098"/>
      <c r="E1432" s="1192">
        <v>20501</v>
      </c>
      <c r="F1432" s="1195" t="s">
        <v>1116</v>
      </c>
      <c r="G1432" s="446">
        <f>+'[15]Input Sheet'!G92</f>
        <v>0</v>
      </c>
      <c r="H1432" s="437"/>
      <c r="I1432" s="437"/>
      <c r="J1432" s="437"/>
      <c r="K1432" s="446">
        <f t="shared" si="1"/>
        <v>0</v>
      </c>
      <c r="L1432" s="451">
        <f t="shared" si="2"/>
        <v>0</v>
      </c>
    </row>
    <row r="1433" spans="3:12" ht="15.75" x14ac:dyDescent="0.25">
      <c r="C1433" s="1098"/>
      <c r="D1433" s="1098">
        <f>+G1433-G1427</f>
        <v>0.11</v>
      </c>
      <c r="E1433" s="1190"/>
      <c r="F1433" s="1196" t="s">
        <v>1117</v>
      </c>
      <c r="G1433" s="465">
        <f>SUM(G1427:G1432)</f>
        <v>0.16</v>
      </c>
      <c r="H1433" s="466"/>
      <c r="I1433" s="466"/>
      <c r="J1433" s="466"/>
      <c r="K1433" s="465">
        <f>SUM(K1427:K1432)</f>
        <v>0.16</v>
      </c>
      <c r="L1433" s="467">
        <f>SUM(L1427:L1432)</f>
        <v>-0.11</v>
      </c>
    </row>
    <row r="1434" spans="3:12" x14ac:dyDescent="0.2">
      <c r="E1434" s="1190"/>
      <c r="F1434" s="1184"/>
      <c r="G1434" s="446"/>
      <c r="H1434" s="437"/>
      <c r="I1434" s="437"/>
      <c r="J1434" s="437"/>
      <c r="K1434" s="446"/>
      <c r="L1434" s="451"/>
    </row>
    <row r="1435" spans="3:12" x14ac:dyDescent="0.2">
      <c r="E1435" s="1190"/>
      <c r="F1435" s="1184" t="s">
        <v>1118</v>
      </c>
      <c r="G1435" s="446"/>
      <c r="H1435" s="437"/>
      <c r="I1435" s="437"/>
      <c r="J1435" s="437"/>
      <c r="K1435" s="446"/>
      <c r="L1435" s="451"/>
    </row>
    <row r="1436" spans="3:12" ht="38.25" x14ac:dyDescent="0.2">
      <c r="E1436" s="1192">
        <v>26001</v>
      </c>
      <c r="F1436" s="1197" t="s">
        <v>1119</v>
      </c>
      <c r="G1436" s="446">
        <f>+'[15]Input Sheet'!G476</f>
        <v>1.8209302000000001</v>
      </c>
      <c r="H1436" s="437"/>
      <c r="I1436" s="437"/>
      <c r="J1436" s="437"/>
      <c r="K1436" s="446">
        <f>+G1436</f>
        <v>1.8209302000000001</v>
      </c>
      <c r="L1436" s="451"/>
    </row>
    <row r="1437" spans="3:12" ht="25.5" x14ac:dyDescent="0.2">
      <c r="E1437" s="1192">
        <v>26002</v>
      </c>
      <c r="F1437" s="1197" t="s">
        <v>1120</v>
      </c>
      <c r="G1437" s="446">
        <f>+'[15]Input Sheet'!G477</f>
        <v>6.1968694289999995</v>
      </c>
      <c r="H1437" s="437"/>
      <c r="I1437" s="437"/>
      <c r="J1437" s="437"/>
      <c r="K1437" s="446">
        <f>+G1437</f>
        <v>6.1968694289999995</v>
      </c>
      <c r="L1437" s="451">
        <f>-K1437</f>
        <v>-6.1968694289999995</v>
      </c>
    </row>
    <row r="1438" spans="3:12" x14ac:dyDescent="0.2">
      <c r="E1438" s="1192">
        <v>26003</v>
      </c>
      <c r="F1438" s="1197" t="s">
        <v>1121</v>
      </c>
      <c r="G1438" s="446">
        <f>+'[15]Input Sheet'!G478</f>
        <v>0</v>
      </c>
      <c r="H1438" s="437"/>
      <c r="I1438" s="437"/>
      <c r="J1438" s="437"/>
      <c r="K1438" s="446">
        <f t="shared" ref="K1438:K1443" si="3">+G1438</f>
        <v>0</v>
      </c>
      <c r="L1438" s="451">
        <f t="shared" ref="L1438:L1443" si="4">-K1438</f>
        <v>0</v>
      </c>
    </row>
    <row r="1439" spans="3:12" ht="25.5" x14ac:dyDescent="0.2">
      <c r="E1439" s="1192">
        <v>26004</v>
      </c>
      <c r="F1439" s="1197" t="s">
        <v>1141</v>
      </c>
      <c r="G1439" s="446">
        <f>+'[15]Input Sheet'!G479</f>
        <v>4.8521920999999999</v>
      </c>
      <c r="H1439" s="437"/>
      <c r="I1439" s="437"/>
      <c r="J1439" s="437"/>
      <c r="K1439" s="446">
        <f t="shared" si="3"/>
        <v>4.8521920999999999</v>
      </c>
      <c r="L1439" s="451">
        <f t="shared" si="4"/>
        <v>-4.8521920999999999</v>
      </c>
    </row>
    <row r="1440" spans="3:12" ht="15" x14ac:dyDescent="0.25">
      <c r="E1440" s="1198">
        <v>26005</v>
      </c>
      <c r="F1440" s="1199" t="s">
        <v>1122</v>
      </c>
      <c r="G1440" s="446">
        <f>+'[15]Input Sheet'!G480</f>
        <v>0</v>
      </c>
      <c r="H1440" s="437"/>
      <c r="I1440" s="437"/>
      <c r="J1440" s="437"/>
      <c r="K1440" s="446">
        <f t="shared" si="3"/>
        <v>0</v>
      </c>
      <c r="L1440" s="451">
        <f t="shared" si="4"/>
        <v>0</v>
      </c>
    </row>
    <row r="1441" spans="4:15" x14ac:dyDescent="0.2">
      <c r="E1441" s="1192">
        <v>26201</v>
      </c>
      <c r="F1441" s="1197" t="s">
        <v>1123</v>
      </c>
      <c r="G1441" s="446">
        <f>+'[15]Input Sheet'!G481</f>
        <v>0.46325</v>
      </c>
      <c r="H1441" s="437"/>
      <c r="I1441" s="437"/>
      <c r="J1441" s="437"/>
      <c r="K1441" s="446">
        <f t="shared" si="3"/>
        <v>0.46325</v>
      </c>
      <c r="L1441" s="451">
        <f t="shared" si="4"/>
        <v>-0.46325</v>
      </c>
    </row>
    <row r="1442" spans="4:15" x14ac:dyDescent="0.2">
      <c r="E1442" s="1192">
        <v>26202</v>
      </c>
      <c r="F1442" s="1197" t="s">
        <v>1124</v>
      </c>
      <c r="G1442" s="446">
        <f>+'[15]Input Sheet'!G482</f>
        <v>41.093311154000006</v>
      </c>
      <c r="H1442" s="437"/>
      <c r="I1442" s="437"/>
      <c r="J1442" s="437"/>
      <c r="K1442" s="446">
        <f t="shared" si="3"/>
        <v>41.093311154000006</v>
      </c>
      <c r="L1442" s="451">
        <f t="shared" si="4"/>
        <v>-41.093311154000006</v>
      </c>
    </row>
    <row r="1443" spans="4:15" ht="15" x14ac:dyDescent="0.25">
      <c r="E1443" s="1198">
        <v>26203</v>
      </c>
      <c r="F1443" s="1199" t="s">
        <v>1125</v>
      </c>
      <c r="G1443" s="446">
        <f>+'[15]Input Sheet'!G483</f>
        <v>0</v>
      </c>
      <c r="H1443" s="437"/>
      <c r="I1443" s="437"/>
      <c r="J1443" s="437"/>
      <c r="K1443" s="446">
        <f t="shared" si="3"/>
        <v>0</v>
      </c>
      <c r="L1443" s="451">
        <f t="shared" si="4"/>
        <v>0</v>
      </c>
      <c r="N1443" s="163" t="s">
        <v>2099</v>
      </c>
      <c r="O1443" s="333">
        <f>+L1433+L1444</f>
        <v>-52.715622683000007</v>
      </c>
    </row>
    <row r="1444" spans="4:15" ht="15.75" x14ac:dyDescent="0.25">
      <c r="D1444" s="1165">
        <f>+G1444-G1436</f>
        <v>52.605622683000007</v>
      </c>
      <c r="E1444" s="1190"/>
      <c r="F1444" s="1200" t="s">
        <v>1126</v>
      </c>
      <c r="G1444" s="468">
        <f>SUM(G1436:G1443)</f>
        <v>54.426552883000006</v>
      </c>
      <c r="H1444" s="469"/>
      <c r="I1444" s="469"/>
      <c r="J1444" s="469"/>
      <c r="K1444" s="468">
        <f>SUM(K1436:K1443)</f>
        <v>54.426552883000006</v>
      </c>
      <c r="L1444" s="470">
        <f>SUM(L1436:L1443)</f>
        <v>-52.605622683000007</v>
      </c>
      <c r="N1444" s="471">
        <v>27901</v>
      </c>
      <c r="O1444" s="472">
        <f>+'[15]Input Sheet'!G509</f>
        <v>52.715622682999999</v>
      </c>
    </row>
    <row r="1445" spans="4:15" x14ac:dyDescent="0.2">
      <c r="E1445" s="1190"/>
      <c r="F1445" s="1180"/>
      <c r="G1445" s="437"/>
      <c r="H1445" s="437"/>
      <c r="I1445" s="437"/>
      <c r="J1445" s="437"/>
      <c r="K1445" s="437"/>
      <c r="L1445" s="437"/>
      <c r="O1445" s="333">
        <f>+O1443+O1444</f>
        <v>0</v>
      </c>
    </row>
    <row r="1446" spans="4:15" ht="25.5" x14ac:dyDescent="0.2">
      <c r="D1446" s="1165">
        <f>+D1433+D1444</f>
        <v>52.715622683000007</v>
      </c>
      <c r="E1446" s="1190"/>
      <c r="F1446" s="1201" t="s">
        <v>2102</v>
      </c>
    </row>
    <row r="1447" spans="4:15" ht="25.5" x14ac:dyDescent="0.2">
      <c r="D1447" s="1165">
        <v>46.229981000000002</v>
      </c>
      <c r="E1447" s="1190">
        <v>27901</v>
      </c>
      <c r="F1447" s="1201" t="s">
        <v>1120</v>
      </c>
      <c r="G1447" s="333">
        <f>+'[15]Input Sheet'!G509</f>
        <v>52.715622682999999</v>
      </c>
    </row>
    <row r="1448" spans="4:15" ht="25.5" x14ac:dyDescent="0.2">
      <c r="D1448" s="1165">
        <f>+D1446-D1447</f>
        <v>6.4856416830000043</v>
      </c>
      <c r="E1448" s="1190">
        <v>27901</v>
      </c>
      <c r="F1448" s="1201" t="s">
        <v>1141</v>
      </c>
      <c r="G1448" s="333">
        <f>48521921/10^7</f>
        <v>4.8521920999999999</v>
      </c>
    </row>
    <row r="1449" spans="4:15" x14ac:dyDescent="0.2">
      <c r="E1449" s="1190">
        <v>27901</v>
      </c>
      <c r="F1449" s="1201" t="s">
        <v>1123</v>
      </c>
    </row>
    <row r="1450" spans="4:15" x14ac:dyDescent="0.2">
      <c r="E1450" s="1190">
        <v>27901</v>
      </c>
      <c r="F1450" s="1201" t="s">
        <v>1124</v>
      </c>
    </row>
    <row r="1451" spans="4:15" ht="38.25" x14ac:dyDescent="0.2">
      <c r="E1451" s="1190">
        <v>27901</v>
      </c>
      <c r="F1451" s="1201" t="s">
        <v>1119</v>
      </c>
    </row>
    <row r="1452" spans="4:15" ht="15.75" x14ac:dyDescent="0.25">
      <c r="E1452" s="1190"/>
      <c r="F1452" s="1202" t="s">
        <v>1128</v>
      </c>
    </row>
    <row r="1453" spans="4:15" x14ac:dyDescent="0.2">
      <c r="E1453" s="1190"/>
    </row>
    <row r="1454" spans="4:15" ht="25.5" x14ac:dyDescent="0.2">
      <c r="E1454" s="1190"/>
      <c r="F1454" s="1201" t="s">
        <v>1129</v>
      </c>
    </row>
    <row r="1455" spans="4:15" ht="25.5" x14ac:dyDescent="0.2">
      <c r="E1455" s="1190">
        <v>27900</v>
      </c>
      <c r="F1455" s="1201" t="s">
        <v>1120</v>
      </c>
    </row>
    <row r="1456" spans="4:15" x14ac:dyDescent="0.2">
      <c r="E1456" s="1190">
        <v>27900</v>
      </c>
      <c r="F1456" s="1201" t="s">
        <v>1123</v>
      </c>
    </row>
    <row r="1457" spans="1:16" x14ac:dyDescent="0.2">
      <c r="E1457" s="1190">
        <v>27900</v>
      </c>
      <c r="F1457" s="1201" t="s">
        <v>1124</v>
      </c>
    </row>
    <row r="1458" spans="1:16" ht="15.75" x14ac:dyDescent="0.25">
      <c r="E1458" s="1190"/>
      <c r="F1458" s="1202" t="s">
        <v>1130</v>
      </c>
    </row>
    <row r="1459" spans="1:16" ht="15.75" x14ac:dyDescent="0.25">
      <c r="E1459" s="1203"/>
      <c r="F1459" s="1202" t="s">
        <v>2103</v>
      </c>
      <c r="O1459" s="291">
        <v>1853000</v>
      </c>
    </row>
    <row r="1460" spans="1:16" x14ac:dyDescent="0.2">
      <c r="O1460" s="291"/>
    </row>
    <row r="1461" spans="1:16" x14ac:dyDescent="0.2">
      <c r="O1461" s="473">
        <v>300000</v>
      </c>
    </row>
    <row r="1471" spans="1:16" ht="15.75" x14ac:dyDescent="0.25">
      <c r="F1471" s="1701" t="str">
        <f>C3</f>
        <v>31.03.2023</v>
      </c>
      <c r="G1471" s="1701"/>
      <c r="H1471" s="1701"/>
      <c r="I1471" s="1701"/>
      <c r="J1471" s="1701"/>
      <c r="L1471" s="1701" t="str">
        <f>E3</f>
        <v>31.03.2022</v>
      </c>
      <c r="M1471" s="1701"/>
      <c r="N1471" s="1701"/>
      <c r="O1471" s="1701"/>
      <c r="P1471" s="1701"/>
    </row>
    <row r="1472" spans="1:16" ht="25.5" x14ac:dyDescent="0.2">
      <c r="A1472" s="474" t="s">
        <v>2104</v>
      </c>
      <c r="B1472" s="1702" t="s">
        <v>2105</v>
      </c>
      <c r="C1472" s="1703"/>
      <c r="D1472" s="1204" t="s">
        <v>2106</v>
      </c>
      <c r="E1472" s="1205" t="s">
        <v>2107</v>
      </c>
      <c r="F1472" s="1205" t="s">
        <v>2108</v>
      </c>
      <c r="G1472" s="475" t="s">
        <v>1848</v>
      </c>
      <c r="H1472" s="475" t="s">
        <v>2092</v>
      </c>
      <c r="I1472" s="475" t="s">
        <v>1849</v>
      </c>
      <c r="J1472" s="476" t="s">
        <v>2092</v>
      </c>
      <c r="K1472" s="477"/>
      <c r="L1472" s="1204" t="s">
        <v>2108</v>
      </c>
      <c r="M1472" s="475" t="s">
        <v>1848</v>
      </c>
      <c r="N1472" s="475" t="s">
        <v>2092</v>
      </c>
      <c r="O1472" s="475" t="s">
        <v>1849</v>
      </c>
      <c r="P1472" s="476" t="s">
        <v>2092</v>
      </c>
    </row>
    <row r="1473" spans="1:16" ht="25.5" x14ac:dyDescent="0.2">
      <c r="A1473" s="478">
        <v>43024</v>
      </c>
      <c r="B1473" s="1699" t="s">
        <v>2109</v>
      </c>
      <c r="C1473" s="1700"/>
      <c r="D1473" s="1206">
        <v>99107</v>
      </c>
      <c r="E1473" s="1207" t="s">
        <v>1406</v>
      </c>
      <c r="F1473" s="1208"/>
      <c r="G1473" s="1209">
        <f t="shared" ref="G1473:G1478" si="5">+F1473-I1473</f>
        <v>0</v>
      </c>
      <c r="H1473" s="1210"/>
      <c r="I1473" s="1211"/>
      <c r="J1473" s="1212"/>
      <c r="K1473" s="477"/>
      <c r="L1473" s="1208"/>
      <c r="M1473" s="1213">
        <f>+L1473-O1473</f>
        <v>0</v>
      </c>
      <c r="N1473" s="479"/>
      <c r="O1473" s="480"/>
      <c r="P1473" s="481"/>
    </row>
    <row r="1474" spans="1:16" ht="25.5" x14ac:dyDescent="0.2">
      <c r="A1474" s="478">
        <v>43024</v>
      </c>
      <c r="B1474" s="1699" t="s">
        <v>2109</v>
      </c>
      <c r="C1474" s="1700"/>
      <c r="D1474" s="1206">
        <v>99108</v>
      </c>
      <c r="E1474" s="1207" t="s">
        <v>2110</v>
      </c>
      <c r="F1474" s="1214">
        <v>20079528</v>
      </c>
      <c r="G1474" s="1209">
        <f t="shared" si="5"/>
        <v>20079528</v>
      </c>
      <c r="H1474" s="1210"/>
      <c r="I1474" s="1211"/>
      <c r="J1474" s="1212"/>
      <c r="K1474" s="477" t="s">
        <v>2111</v>
      </c>
      <c r="L1474" s="1208">
        <v>4242698</v>
      </c>
      <c r="M1474" s="1213">
        <f>+L1474-O1474</f>
        <v>4242698</v>
      </c>
      <c r="N1474" s="479"/>
      <c r="O1474" s="480"/>
      <c r="P1474" s="481"/>
    </row>
    <row r="1475" spans="1:16" x14ac:dyDescent="0.2">
      <c r="A1475" s="478">
        <v>43024</v>
      </c>
      <c r="B1475" s="1699" t="s">
        <v>2109</v>
      </c>
      <c r="C1475" s="1700"/>
      <c r="D1475" s="1215">
        <v>99113</v>
      </c>
      <c r="E1475" s="1207" t="s">
        <v>1410</v>
      </c>
      <c r="F1475" s="1214">
        <v>60899</v>
      </c>
      <c r="G1475" s="1209">
        <f t="shared" si="5"/>
        <v>60899</v>
      </c>
      <c r="H1475" s="1210"/>
      <c r="I1475" s="1211"/>
      <c r="J1475" s="1212"/>
      <c r="K1475" s="477" t="s">
        <v>2111</v>
      </c>
      <c r="L1475" s="1208">
        <v>60899</v>
      </c>
      <c r="M1475" s="1213">
        <f>+L1475-O1475</f>
        <v>60899</v>
      </c>
      <c r="N1475" s="479"/>
      <c r="O1475" s="480"/>
      <c r="P1475" s="481"/>
    </row>
    <row r="1476" spans="1:16" x14ac:dyDescent="0.2">
      <c r="A1476" s="478">
        <v>43024</v>
      </c>
      <c r="B1476" s="1699" t="s">
        <v>2109</v>
      </c>
      <c r="C1476" s="1700"/>
      <c r="D1476" s="1215">
        <v>99118</v>
      </c>
      <c r="E1476" s="1207" t="s">
        <v>1298</v>
      </c>
      <c r="F1476" s="1214">
        <v>-1495087</v>
      </c>
      <c r="G1476" s="1209">
        <f t="shared" si="5"/>
        <v>-1495087</v>
      </c>
      <c r="H1476" s="1210"/>
      <c r="I1476" s="1211"/>
      <c r="J1476" s="1212"/>
      <c r="K1476" s="482" t="s">
        <v>2111</v>
      </c>
      <c r="L1476" s="1208">
        <v>-1495087</v>
      </c>
      <c r="M1476" s="1213">
        <f>+L1476-O1476</f>
        <v>-1495087</v>
      </c>
      <c r="N1476" s="479"/>
      <c r="O1476" s="480"/>
      <c r="P1476" s="481"/>
    </row>
    <row r="1477" spans="1:16" ht="25.5" x14ac:dyDescent="0.2">
      <c r="A1477" s="478">
        <v>43024</v>
      </c>
      <c r="B1477" s="1699" t="s">
        <v>2109</v>
      </c>
      <c r="C1477" s="1700"/>
      <c r="D1477" s="1206">
        <v>99231</v>
      </c>
      <c r="E1477" s="1207" t="s">
        <v>1366</v>
      </c>
      <c r="F1477" s="1214">
        <v>-5502443293.5799999</v>
      </c>
      <c r="G1477" s="1209">
        <f t="shared" si="5"/>
        <v>-5502443293.5799999</v>
      </c>
      <c r="H1477" s="1210"/>
      <c r="I1477" s="1211"/>
      <c r="J1477" s="1212"/>
      <c r="K1477" s="477"/>
      <c r="L1477" s="1208">
        <v>-5475498914.8599997</v>
      </c>
      <c r="M1477" s="1213">
        <f>+L1477-O1477</f>
        <v>-5475498914.8599997</v>
      </c>
      <c r="N1477" s="479"/>
      <c r="O1477" s="480"/>
      <c r="P1477" s="481"/>
    </row>
    <row r="1478" spans="1:16" x14ac:dyDescent="0.2">
      <c r="A1478" s="478">
        <v>43024</v>
      </c>
      <c r="B1478" s="1699" t="s">
        <v>2109</v>
      </c>
      <c r="C1478" s="1700"/>
      <c r="D1478" s="1206">
        <v>99101</v>
      </c>
      <c r="E1478" s="1207" t="s">
        <v>2112</v>
      </c>
      <c r="F1478" s="1213">
        <v>3638583</v>
      </c>
      <c r="G1478" s="1209">
        <f t="shared" si="5"/>
        <v>3638583</v>
      </c>
      <c r="H1478" s="1210"/>
      <c r="I1478" s="1210"/>
      <c r="J1478" s="1212"/>
      <c r="K1478" s="477"/>
      <c r="L1478" s="1209">
        <v>2325744</v>
      </c>
      <c r="M1478" s="1213"/>
      <c r="N1478" s="479"/>
      <c r="O1478" s="479"/>
      <c r="P1478" s="481"/>
    </row>
    <row r="1479" spans="1:16" x14ac:dyDescent="0.2">
      <c r="A1479" s="478">
        <v>43119</v>
      </c>
      <c r="B1479" s="1699" t="s">
        <v>2109</v>
      </c>
      <c r="C1479" s="1700"/>
      <c r="D1479" s="1215">
        <v>99101</v>
      </c>
      <c r="E1479" s="1207" t="s">
        <v>2112</v>
      </c>
      <c r="F1479" s="1214">
        <v>6180000</v>
      </c>
      <c r="G1479" s="1216">
        <f>(+F1479-I1479)*0</f>
        <v>0</v>
      </c>
      <c r="H1479" s="1210"/>
      <c r="I1479" s="1211"/>
      <c r="J1479" s="1212"/>
      <c r="K1479" s="477" t="s">
        <v>2111</v>
      </c>
      <c r="L1479" s="1208">
        <v>6180000</v>
      </c>
      <c r="M1479" s="1217">
        <f>(+L1479-O1479)*0</f>
        <v>0</v>
      </c>
      <c r="N1479" s="479"/>
      <c r="O1479" s="480"/>
      <c r="P1479" s="481"/>
    </row>
    <row r="1480" spans="1:16" ht="25.5" x14ac:dyDescent="0.2">
      <c r="A1480" s="478">
        <v>43119</v>
      </c>
      <c r="B1480" s="1699" t="s">
        <v>2109</v>
      </c>
      <c r="C1480" s="1700"/>
      <c r="D1480" s="1215">
        <v>99108</v>
      </c>
      <c r="E1480" s="1207" t="s">
        <v>2110</v>
      </c>
      <c r="F1480" s="1214">
        <v>6622132</v>
      </c>
      <c r="G1480" s="1209">
        <f>+F1480-I1480</f>
        <v>6622132</v>
      </c>
      <c r="H1480" s="1210"/>
      <c r="I1480" s="1211"/>
      <c r="J1480" s="1212"/>
      <c r="K1480" s="477" t="s">
        <v>2111</v>
      </c>
      <c r="L1480" s="1208">
        <v>6622132</v>
      </c>
      <c r="M1480" s="1213">
        <f>+L1480-O1480</f>
        <v>6622132</v>
      </c>
      <c r="N1480" s="479"/>
      <c r="O1480" s="480"/>
      <c r="P1480" s="481"/>
    </row>
    <row r="1481" spans="1:16" ht="38.25" x14ac:dyDescent="0.2">
      <c r="A1481" s="478">
        <v>43119</v>
      </c>
      <c r="B1481" s="1699" t="s">
        <v>2109</v>
      </c>
      <c r="C1481" s="1700"/>
      <c r="D1481" s="1215">
        <v>99109</v>
      </c>
      <c r="E1481" s="483" t="s">
        <v>1148</v>
      </c>
      <c r="F1481" s="1214"/>
      <c r="G1481" s="1216">
        <f>(+F1481-I1481)*0</f>
        <v>0</v>
      </c>
      <c r="H1481" s="1210"/>
      <c r="I1481" s="1211"/>
      <c r="J1481" s="1212"/>
      <c r="K1481" s="477" t="s">
        <v>2111</v>
      </c>
      <c r="L1481" s="1208"/>
      <c r="M1481" s="1217">
        <f>(+L1481-O1481)*0</f>
        <v>0</v>
      </c>
      <c r="N1481" s="479"/>
      <c r="O1481" s="480"/>
      <c r="P1481" s="481"/>
    </row>
    <row r="1482" spans="1:16" x14ac:dyDescent="0.2">
      <c r="A1482" s="478">
        <v>43119</v>
      </c>
      <c r="B1482" s="1699" t="s">
        <v>2109</v>
      </c>
      <c r="C1482" s="1700"/>
      <c r="D1482" s="1215">
        <v>99113</v>
      </c>
      <c r="E1482" s="1207" t="s">
        <v>1410</v>
      </c>
      <c r="F1482" s="1214"/>
      <c r="G1482" s="1209">
        <f>+F1482-I1482</f>
        <v>0</v>
      </c>
      <c r="H1482" s="1210"/>
      <c r="I1482" s="1211"/>
      <c r="J1482" s="1212"/>
      <c r="K1482" s="477" t="s">
        <v>2111</v>
      </c>
      <c r="L1482" s="1208"/>
      <c r="M1482" s="1213">
        <f>+L1482-O1482</f>
        <v>0</v>
      </c>
      <c r="N1482" s="479"/>
      <c r="O1482" s="480"/>
      <c r="P1482" s="481"/>
    </row>
    <row r="1483" spans="1:16" ht="25.5" x14ac:dyDescent="0.2">
      <c r="A1483" s="478">
        <v>43119</v>
      </c>
      <c r="B1483" s="1699" t="s">
        <v>2109</v>
      </c>
      <c r="C1483" s="1700"/>
      <c r="D1483" s="1215">
        <v>99231</v>
      </c>
      <c r="E1483" s="1207" t="s">
        <v>1366</v>
      </c>
      <c r="F1483" s="1214">
        <v>1525128</v>
      </c>
      <c r="G1483" s="1209">
        <f>+F1483-I1483</f>
        <v>1525128</v>
      </c>
      <c r="H1483" s="1210"/>
      <c r="I1483" s="1211"/>
      <c r="J1483" s="1212"/>
      <c r="K1483" s="477"/>
      <c r="L1483" s="1208">
        <v>-6476868</v>
      </c>
      <c r="M1483" s="1213">
        <f>+L1483-O1483</f>
        <v>-6476868</v>
      </c>
      <c r="N1483" s="479"/>
      <c r="O1483" s="480"/>
      <c r="P1483" s="481"/>
    </row>
    <row r="1484" spans="1:16" x14ac:dyDescent="0.2">
      <c r="A1484" s="478"/>
      <c r="B1484" s="1699"/>
      <c r="C1484" s="1700"/>
      <c r="D1484" s="1218"/>
      <c r="E1484" s="1093"/>
      <c r="F1484" s="1213"/>
      <c r="G1484" s="1209"/>
      <c r="H1484" s="1210"/>
      <c r="I1484" s="1211"/>
      <c r="J1484" s="1212"/>
      <c r="K1484" s="477"/>
      <c r="L1484" s="1209"/>
      <c r="M1484" s="1213"/>
      <c r="N1484" s="479"/>
      <c r="O1484" s="480"/>
      <c r="P1484" s="481"/>
    </row>
    <row r="1485" spans="1:16" ht="15" x14ac:dyDescent="0.2">
      <c r="A1485" s="478"/>
      <c r="B1485" s="1705" t="s">
        <v>452</v>
      </c>
      <c r="C1485" s="1706"/>
      <c r="D1485" s="1219"/>
      <c r="E1485" s="1220"/>
      <c r="F1485" s="1221">
        <f>SUM(F1473:F1484)</f>
        <v>-5465832110.5799999</v>
      </c>
      <c r="G1485" s="1209">
        <f t="shared" ref="G1485:G1499" si="6">+F1485-I1485</f>
        <v>-5465832110.5799999</v>
      </c>
      <c r="H1485" s="1210"/>
      <c r="I1485" s="1211"/>
      <c r="J1485" s="1212"/>
      <c r="K1485" s="477"/>
      <c r="L1485" s="1222">
        <f>SUM(L1473:L1484)</f>
        <v>-5464039396.8599997</v>
      </c>
      <c r="M1485" s="1213">
        <f t="shared" ref="M1485:M1487" si="7">+L1485-O1485</f>
        <v>-5464039396.8599997</v>
      </c>
      <c r="N1485" s="479"/>
      <c r="O1485" s="480"/>
      <c r="P1485" s="481"/>
    </row>
    <row r="1486" spans="1:16" x14ac:dyDescent="0.2">
      <c r="A1486" s="478"/>
      <c r="B1486" s="1699"/>
      <c r="C1486" s="1700"/>
      <c r="D1486" s="1218"/>
      <c r="E1486" s="1207"/>
      <c r="F1486" s="1213"/>
      <c r="G1486" s="1209">
        <f t="shared" si="6"/>
        <v>0</v>
      </c>
      <c r="H1486" s="1210"/>
      <c r="I1486" s="1211"/>
      <c r="J1486" s="1212"/>
      <c r="K1486" s="477"/>
      <c r="L1486" s="1209"/>
      <c r="M1486" s="1213">
        <f t="shared" si="7"/>
        <v>0</v>
      </c>
      <c r="N1486" s="479"/>
      <c r="O1486" s="480"/>
      <c r="P1486" s="481"/>
    </row>
    <row r="1487" spans="1:16" x14ac:dyDescent="0.2">
      <c r="A1487" s="478">
        <v>43025</v>
      </c>
      <c r="B1487" s="1699" t="s">
        <v>2113</v>
      </c>
      <c r="C1487" s="1700"/>
      <c r="D1487" s="1215">
        <v>99113</v>
      </c>
      <c r="E1487" s="1207" t="s">
        <v>1410</v>
      </c>
      <c r="F1487" s="1214">
        <v>-5000000</v>
      </c>
      <c r="G1487" s="1209">
        <f t="shared" si="6"/>
        <v>-5000000</v>
      </c>
      <c r="H1487" s="1210"/>
      <c r="I1487" s="1211"/>
      <c r="J1487" s="1212"/>
      <c r="K1487" s="477"/>
      <c r="L1487" s="1208">
        <v>-5000000</v>
      </c>
      <c r="M1487" s="1213">
        <f t="shared" si="7"/>
        <v>-5000000</v>
      </c>
      <c r="N1487" s="479"/>
      <c r="O1487" s="480"/>
      <c r="P1487" s="481"/>
    </row>
    <row r="1488" spans="1:16" ht="25.5" x14ac:dyDescent="0.2">
      <c r="A1488" s="478">
        <v>43025</v>
      </c>
      <c r="B1488" s="1699" t="s">
        <v>2113</v>
      </c>
      <c r="C1488" s="1700"/>
      <c r="D1488" s="1206">
        <v>99231</v>
      </c>
      <c r="E1488" s="1207" t="s">
        <v>1366</v>
      </c>
      <c r="F1488" s="1214">
        <v>-31053512.170000002</v>
      </c>
      <c r="G1488" s="1209">
        <f t="shared" si="6"/>
        <v>-31053512.170000002</v>
      </c>
      <c r="H1488" s="1210"/>
      <c r="I1488" s="1211"/>
      <c r="J1488" s="1212"/>
      <c r="K1488" s="477"/>
      <c r="L1488" s="1208">
        <v>-67241359.920000002</v>
      </c>
      <c r="M1488" s="1213">
        <v>96016134.780000001</v>
      </c>
      <c r="N1488" s="479"/>
      <c r="O1488" s="480"/>
      <c r="P1488" s="481"/>
    </row>
    <row r="1489" spans="1:16" x14ac:dyDescent="0.2">
      <c r="A1489" s="478">
        <v>43025</v>
      </c>
      <c r="B1489" s="1699" t="s">
        <v>2113</v>
      </c>
      <c r="C1489" s="1700"/>
      <c r="D1489" s="1215">
        <v>99101</v>
      </c>
      <c r="E1489" s="1207" t="s">
        <v>2112</v>
      </c>
      <c r="F1489" s="1214">
        <v>1256114761</v>
      </c>
      <c r="G1489" s="1216">
        <f>+F1489*0</f>
        <v>0</v>
      </c>
      <c r="H1489" s="1210"/>
      <c r="I1489" s="1211"/>
      <c r="J1489" s="1212"/>
      <c r="K1489" s="477"/>
      <c r="L1489" s="1208">
        <v>157684279</v>
      </c>
      <c r="M1489" s="1217">
        <f>+L1489*0</f>
        <v>0</v>
      </c>
      <c r="N1489" s="479"/>
      <c r="O1489" s="480"/>
      <c r="P1489" s="481"/>
    </row>
    <row r="1490" spans="1:16" ht="25.5" x14ac:dyDescent="0.2">
      <c r="A1490" s="478">
        <v>43025</v>
      </c>
      <c r="B1490" s="1699" t="s">
        <v>2113</v>
      </c>
      <c r="C1490" s="1700"/>
      <c r="D1490" s="1206">
        <v>99108</v>
      </c>
      <c r="E1490" s="1207" t="s">
        <v>2110</v>
      </c>
      <c r="F1490" s="1214">
        <v>128000000</v>
      </c>
      <c r="G1490" s="1209">
        <f>+F1490</f>
        <v>128000000</v>
      </c>
      <c r="H1490" s="1210"/>
      <c r="I1490" s="1211"/>
      <c r="J1490" s="1212"/>
      <c r="K1490" s="477"/>
      <c r="L1490" s="1208">
        <v>148000000</v>
      </c>
      <c r="M1490" s="1213">
        <f>+L1490</f>
        <v>148000000</v>
      </c>
      <c r="N1490" s="479"/>
      <c r="O1490" s="480"/>
      <c r="P1490" s="481"/>
    </row>
    <row r="1491" spans="1:16" ht="15" x14ac:dyDescent="0.2">
      <c r="A1491" s="478"/>
      <c r="B1491" s="1705" t="s">
        <v>452</v>
      </c>
      <c r="C1491" s="1706"/>
      <c r="D1491" s="1219"/>
      <c r="E1491" s="1220"/>
      <c r="F1491" s="1221">
        <f>SUM(F1487:F1490)</f>
        <v>1348061248.8299999</v>
      </c>
      <c r="G1491" s="1209">
        <f t="shared" si="6"/>
        <v>1348061248.8299999</v>
      </c>
      <c r="H1491" s="1210"/>
      <c r="I1491" s="1211"/>
      <c r="J1491" s="1212"/>
      <c r="K1491" s="477"/>
      <c r="L1491" s="1221">
        <f>SUM(L1487:L1490)</f>
        <v>233442919.07999998</v>
      </c>
      <c r="M1491" s="1213">
        <f t="shared" ref="M1491:M1493" si="8">+L1491-O1491</f>
        <v>233442919.07999998</v>
      </c>
      <c r="N1491" s="479"/>
      <c r="O1491" s="480"/>
      <c r="P1491" s="481"/>
    </row>
    <row r="1492" spans="1:16" x14ac:dyDescent="0.2">
      <c r="A1492" s="478"/>
      <c r="B1492" s="1699"/>
      <c r="C1492" s="1700"/>
      <c r="D1492" s="1218"/>
      <c r="E1492" s="1207"/>
      <c r="F1492" s="1213"/>
      <c r="G1492" s="1209">
        <f t="shared" si="6"/>
        <v>0</v>
      </c>
      <c r="H1492" s="1210"/>
      <c r="I1492" s="1211"/>
      <c r="J1492" s="1212"/>
      <c r="K1492" s="477"/>
      <c r="L1492" s="1209"/>
      <c r="M1492" s="1213">
        <f t="shared" si="8"/>
        <v>0</v>
      </c>
      <c r="N1492" s="479"/>
      <c r="O1492" s="480"/>
      <c r="P1492" s="481"/>
    </row>
    <row r="1493" spans="1:16" ht="25.5" x14ac:dyDescent="0.2">
      <c r="A1493" s="486">
        <v>53007</v>
      </c>
      <c r="B1493" s="1699" t="s">
        <v>2114</v>
      </c>
      <c r="C1493" s="1700"/>
      <c r="D1493" s="1215">
        <v>99225</v>
      </c>
      <c r="E1493" s="1207" t="s">
        <v>1362</v>
      </c>
      <c r="F1493" s="1214">
        <v>-2933303838.6300001</v>
      </c>
      <c r="G1493" s="1209">
        <f t="shared" si="6"/>
        <v>-2933303838.6300001</v>
      </c>
      <c r="H1493" s="1210"/>
      <c r="I1493" s="1211"/>
      <c r="J1493" s="1212"/>
      <c r="K1493" s="477"/>
      <c r="L1493" s="1208">
        <v>-2691150385.6300001</v>
      </c>
      <c r="M1493" s="1213">
        <f t="shared" si="8"/>
        <v>-2691150385.6300001</v>
      </c>
      <c r="N1493" s="479"/>
      <c r="O1493" s="480"/>
      <c r="P1493" s="481"/>
    </row>
    <row r="1494" spans="1:16" x14ac:dyDescent="0.2">
      <c r="A1494" s="486">
        <v>53007</v>
      </c>
      <c r="B1494" s="1699" t="s">
        <v>2114</v>
      </c>
      <c r="C1494" s="1700"/>
      <c r="D1494" s="1223">
        <v>99118</v>
      </c>
      <c r="E1494" s="1224" t="s">
        <v>1298</v>
      </c>
      <c r="F1494" s="1214">
        <v>5000000</v>
      </c>
      <c r="G1494" s="1225">
        <f t="shared" si="6"/>
        <v>5000000</v>
      </c>
      <c r="H1494" s="1210"/>
      <c r="I1494" s="1211"/>
      <c r="J1494" s="1212"/>
      <c r="K1494" s="477"/>
      <c r="L1494" s="1208"/>
      <c r="M1494" s="1213"/>
      <c r="N1494" s="479"/>
      <c r="O1494" s="480"/>
      <c r="P1494" s="481"/>
    </row>
    <row r="1495" spans="1:16" x14ac:dyDescent="0.2">
      <c r="A1495" s="486">
        <v>53007</v>
      </c>
      <c r="B1495" s="1699" t="s">
        <v>2114</v>
      </c>
      <c r="C1495" s="1700"/>
      <c r="D1495" s="1223">
        <v>99101</v>
      </c>
      <c r="E1495" s="1224" t="s">
        <v>2112</v>
      </c>
      <c r="F1495" s="1214">
        <v>10000000</v>
      </c>
      <c r="G1495" s="1225">
        <f t="shared" si="6"/>
        <v>10000000</v>
      </c>
      <c r="H1495" s="1210"/>
      <c r="I1495" s="1211"/>
      <c r="J1495" s="1212"/>
      <c r="K1495" s="477"/>
      <c r="L1495" s="1208"/>
      <c r="M1495" s="1213"/>
      <c r="N1495" s="479"/>
      <c r="O1495" s="480"/>
      <c r="P1495" s="481"/>
    </row>
    <row r="1496" spans="1:16" ht="25.5" x14ac:dyDescent="0.2">
      <c r="A1496" s="487">
        <v>43169</v>
      </c>
      <c r="B1496" s="478" t="s">
        <v>2115</v>
      </c>
      <c r="C1496" s="1226"/>
      <c r="D1496" s="1206">
        <v>99231</v>
      </c>
      <c r="E1496" s="1207" t="s">
        <v>1366</v>
      </c>
      <c r="F1496" s="1214">
        <v>-8504746</v>
      </c>
      <c r="G1496" s="1209">
        <f>+F1496</f>
        <v>-8504746</v>
      </c>
      <c r="H1496" s="1210"/>
      <c r="I1496" s="1211"/>
      <c r="J1496" s="1212"/>
      <c r="K1496" s="477"/>
      <c r="L1496" s="1208">
        <v>-8504746</v>
      </c>
      <c r="M1496" s="1213">
        <f>+L1496</f>
        <v>-8504746</v>
      </c>
      <c r="N1496" s="479"/>
      <c r="O1496" s="480"/>
      <c r="P1496" s="481"/>
    </row>
    <row r="1497" spans="1:16" x14ac:dyDescent="0.2">
      <c r="A1497" s="487">
        <v>43169</v>
      </c>
      <c r="B1497" s="478" t="s">
        <v>2115</v>
      </c>
      <c r="C1497" s="1226"/>
      <c r="D1497" s="1215">
        <v>99101</v>
      </c>
      <c r="E1497" s="1207" t="s">
        <v>2112</v>
      </c>
      <c r="F1497" s="1214">
        <v>10000</v>
      </c>
      <c r="G1497" s="1216">
        <f>+F1497*0</f>
        <v>0</v>
      </c>
      <c r="H1497" s="1210"/>
      <c r="I1497" s="1211"/>
      <c r="J1497" s="1212"/>
      <c r="K1497" s="477"/>
      <c r="L1497" s="1208">
        <v>10000</v>
      </c>
      <c r="M1497" s="1217">
        <f>+L1497*0</f>
        <v>0</v>
      </c>
      <c r="N1497" s="479"/>
      <c r="O1497" s="480"/>
      <c r="P1497" s="481"/>
    </row>
    <row r="1498" spans="1:16" ht="15" x14ac:dyDescent="0.2">
      <c r="A1498" s="478"/>
      <c r="B1498" s="1705" t="s">
        <v>452</v>
      </c>
      <c r="C1498" s="1706"/>
      <c r="D1498" s="1218"/>
      <c r="E1498" s="1220"/>
      <c r="F1498" s="1227">
        <f>SUM(F1493:F1497)</f>
        <v>-2926798584.6300001</v>
      </c>
      <c r="G1498" s="1209">
        <f t="shared" si="6"/>
        <v>-2926798584.6300001</v>
      </c>
      <c r="H1498" s="1210"/>
      <c r="I1498" s="1211"/>
      <c r="J1498" s="1212"/>
      <c r="K1498" s="477"/>
      <c r="L1498" s="1228">
        <f>SUM(L1493:L1497)</f>
        <v>-2699645131.6300001</v>
      </c>
      <c r="M1498" s="1213">
        <f t="shared" ref="M1498:M1499" si="9">+L1498-O1498</f>
        <v>-2699645131.6300001</v>
      </c>
      <c r="N1498" s="479"/>
      <c r="O1498" s="480"/>
      <c r="P1498" s="481"/>
    </row>
    <row r="1499" spans="1:16" ht="15" x14ac:dyDescent="0.2">
      <c r="A1499" s="478"/>
      <c r="B1499" s="1705" t="s">
        <v>92</v>
      </c>
      <c r="C1499" s="1706"/>
      <c r="D1499" s="1219"/>
      <c r="E1499" s="1220"/>
      <c r="F1499" s="1221">
        <f>+F1485+F1491+F1498</f>
        <v>-7044569446.3800001</v>
      </c>
      <c r="G1499" s="1209">
        <f t="shared" si="6"/>
        <v>-7044569446.3800001</v>
      </c>
      <c r="H1499" s="1210"/>
      <c r="I1499" s="1211"/>
      <c r="J1499" s="1212"/>
      <c r="K1499" s="477"/>
      <c r="L1499" s="1222">
        <f>+L1485+L1491+L1498</f>
        <v>-7930241609.4099998</v>
      </c>
      <c r="M1499" s="1213">
        <f t="shared" si="9"/>
        <v>-7930241609.4099998</v>
      </c>
      <c r="N1499" s="479"/>
      <c r="O1499" s="480"/>
      <c r="P1499" s="481"/>
    </row>
    <row r="1500" spans="1:16" x14ac:dyDescent="0.2">
      <c r="F1500" s="1006">
        <f>+F1499+F1496+F1497</f>
        <v>-7053064192.3800001</v>
      </c>
    </row>
    <row r="1501" spans="1:16" x14ac:dyDescent="0.2">
      <c r="G1501" s="187">
        <f>+G1499-G1474</f>
        <v>-7064648974.3800001</v>
      </c>
    </row>
    <row r="1503" spans="1:16" ht="15" x14ac:dyDescent="0.25">
      <c r="A1503" s="1709" t="s">
        <v>2116</v>
      </c>
      <c r="B1503" s="1709"/>
      <c r="C1503" s="1709"/>
      <c r="D1503" s="1709"/>
      <c r="E1503" s="1709"/>
      <c r="F1503" s="1709"/>
    </row>
    <row r="1504" spans="1:16" ht="30" x14ac:dyDescent="0.2">
      <c r="A1504" s="474" t="s">
        <v>2117</v>
      </c>
      <c r="B1504" s="1710" t="s">
        <v>2118</v>
      </c>
      <c r="C1504" s="1711"/>
      <c r="D1504" s="1229" t="s">
        <v>2106</v>
      </c>
      <c r="E1504" s="1230" t="s">
        <v>2107</v>
      </c>
      <c r="F1504" s="1230" t="s">
        <v>2108</v>
      </c>
      <c r="G1504" s="475" t="s">
        <v>1848</v>
      </c>
      <c r="H1504" s="475" t="s">
        <v>2092</v>
      </c>
      <c r="I1504" s="475" t="s">
        <v>1849</v>
      </c>
      <c r="J1504" s="475" t="s">
        <v>2092</v>
      </c>
      <c r="L1504" s="1229" t="s">
        <v>2108</v>
      </c>
      <c r="M1504" s="475" t="s">
        <v>1848</v>
      </c>
      <c r="N1504" s="475" t="s">
        <v>2092</v>
      </c>
      <c r="O1504" s="475" t="s">
        <v>1849</v>
      </c>
      <c r="P1504" s="475" t="s">
        <v>2092</v>
      </c>
    </row>
    <row r="1505" spans="1:16" ht="38.25" x14ac:dyDescent="0.2">
      <c r="A1505" s="488">
        <v>10000</v>
      </c>
      <c r="B1505" s="1712" t="s">
        <v>2119</v>
      </c>
      <c r="C1505" s="1713"/>
      <c r="D1505" s="1215">
        <v>99205</v>
      </c>
      <c r="E1505" s="1231" t="s">
        <v>1225</v>
      </c>
      <c r="F1505" s="1208">
        <v>258030908905.84</v>
      </c>
      <c r="G1505" s="1213">
        <f>+F1505-I1505</f>
        <v>258030908905.84</v>
      </c>
      <c r="H1505" s="329"/>
      <c r="I1505" s="489"/>
      <c r="J1505" s="490"/>
      <c r="K1505" s="1714" t="s">
        <v>2120</v>
      </c>
      <c r="L1505" s="1208">
        <v>270501998723.76001</v>
      </c>
      <c r="M1505" s="1213">
        <f>+L1505-O1505</f>
        <v>270501998723.76001</v>
      </c>
      <c r="N1505" s="329"/>
      <c r="O1505" s="489"/>
      <c r="P1505" s="490"/>
    </row>
    <row r="1506" spans="1:16" ht="38.25" x14ac:dyDescent="0.2">
      <c r="A1506" s="488">
        <v>10011</v>
      </c>
      <c r="B1506" s="1699" t="s">
        <v>2121</v>
      </c>
      <c r="C1506" s="1700"/>
      <c r="D1506" s="1215">
        <v>99205</v>
      </c>
      <c r="E1506" s="1231" t="s">
        <v>1225</v>
      </c>
      <c r="F1506" s="1208">
        <v>1357482880.23</v>
      </c>
      <c r="G1506" s="1213">
        <f t="shared" ref="G1506:G1530" si="10">+F1506-I1506</f>
        <v>1357482880.23</v>
      </c>
      <c r="H1506" s="329"/>
      <c r="I1506" s="489"/>
      <c r="J1506" s="490"/>
      <c r="K1506" s="1714"/>
      <c r="L1506" s="1208">
        <v>1769791019.77</v>
      </c>
      <c r="M1506" s="1213">
        <f t="shared" ref="M1506:M1508" si="11">+L1506-O1506</f>
        <v>1769791019.77</v>
      </c>
      <c r="N1506" s="329"/>
      <c r="O1506" s="489"/>
      <c r="P1506" s="490"/>
    </row>
    <row r="1507" spans="1:16" ht="38.25" x14ac:dyDescent="0.2">
      <c r="A1507" s="488">
        <v>10012</v>
      </c>
      <c r="B1507" s="1699" t="s">
        <v>2122</v>
      </c>
      <c r="C1507" s="1700"/>
      <c r="D1507" s="1215">
        <v>99205</v>
      </c>
      <c r="E1507" s="1231" t="s">
        <v>1225</v>
      </c>
      <c r="F1507" s="1208">
        <v>336280784.27999997</v>
      </c>
      <c r="G1507" s="1213">
        <f t="shared" si="10"/>
        <v>336280784.27999997</v>
      </c>
      <c r="H1507" s="329"/>
      <c r="I1507" s="489"/>
      <c r="J1507" s="490"/>
      <c r="K1507" s="1714"/>
      <c r="L1507" s="1208">
        <v>279360613.44999999</v>
      </c>
      <c r="M1507" s="1213">
        <f t="shared" si="11"/>
        <v>279360613.44999999</v>
      </c>
      <c r="N1507" s="329"/>
      <c r="O1507" s="489"/>
      <c r="P1507" s="490"/>
    </row>
    <row r="1508" spans="1:16" ht="38.25" x14ac:dyDescent="0.2">
      <c r="A1508" s="488">
        <v>10015</v>
      </c>
      <c r="B1508" s="1699" t="s">
        <v>2123</v>
      </c>
      <c r="C1508" s="1700"/>
      <c r="D1508" s="1215">
        <v>99205</v>
      </c>
      <c r="E1508" s="1231" t="s">
        <v>1225</v>
      </c>
      <c r="F1508" s="1208">
        <v>16808286.609999999</v>
      </c>
      <c r="G1508" s="1213">
        <f t="shared" si="10"/>
        <v>16808286.609999999</v>
      </c>
      <c r="H1508" s="329"/>
      <c r="I1508" s="489"/>
      <c r="J1508" s="490"/>
      <c r="K1508" s="1714"/>
      <c r="L1508" s="1208">
        <v>27823600.82</v>
      </c>
      <c r="M1508" s="1213">
        <f t="shared" si="11"/>
        <v>27823600.82</v>
      </c>
      <c r="N1508" s="329"/>
      <c r="O1508" s="489"/>
      <c r="P1508" s="490"/>
    </row>
    <row r="1509" spans="1:16" ht="38.25" x14ac:dyDescent="0.2">
      <c r="A1509" s="488">
        <v>10025</v>
      </c>
      <c r="B1509" s="484" t="s">
        <v>2124</v>
      </c>
      <c r="C1509" s="485"/>
      <c r="D1509" s="1215">
        <v>99205</v>
      </c>
      <c r="E1509" s="1231" t="s">
        <v>1225</v>
      </c>
      <c r="F1509" s="1208">
        <v>67839289.879999995</v>
      </c>
      <c r="G1509" s="1213">
        <f t="shared" si="10"/>
        <v>67839289.879999995</v>
      </c>
      <c r="H1509" s="329"/>
      <c r="I1509" s="489"/>
      <c r="J1509" s="490"/>
      <c r="K1509" s="491"/>
      <c r="L1509" s="1208">
        <v>12092006</v>
      </c>
      <c r="M1509" s="1213"/>
      <c r="N1509" s="329"/>
      <c r="O1509" s="489"/>
      <c r="P1509" s="490"/>
    </row>
    <row r="1510" spans="1:16" x14ac:dyDescent="0.2">
      <c r="A1510" s="492">
        <v>30948</v>
      </c>
      <c r="B1510" s="1707" t="s">
        <v>2125</v>
      </c>
      <c r="C1510" s="1708"/>
      <c r="D1510" s="1215">
        <v>99206</v>
      </c>
      <c r="E1510" s="1231"/>
      <c r="F1510" s="1208"/>
      <c r="G1510" s="1213"/>
      <c r="H1510" s="329"/>
      <c r="I1510" s="489"/>
      <c r="J1510" s="490"/>
      <c r="L1510" s="1208"/>
      <c r="M1510" s="1213"/>
      <c r="N1510" s="329"/>
      <c r="O1510" s="489"/>
      <c r="P1510" s="490"/>
    </row>
    <row r="1511" spans="1:16" x14ac:dyDescent="0.2">
      <c r="A1511" s="493">
        <v>40108</v>
      </c>
      <c r="B1511" s="1707" t="s">
        <v>2126</v>
      </c>
      <c r="C1511" s="1708"/>
      <c r="D1511" s="1215">
        <v>99206</v>
      </c>
      <c r="E1511" s="1231" t="s">
        <v>2127</v>
      </c>
      <c r="F1511" s="1208"/>
      <c r="G1511" s="1213">
        <f>+F1511</f>
        <v>0</v>
      </c>
      <c r="H1511" s="329"/>
      <c r="I1511" s="489"/>
      <c r="J1511" s="490"/>
      <c r="L1511" s="1208"/>
      <c r="M1511" s="1213">
        <f>+L1511</f>
        <v>0</v>
      </c>
      <c r="N1511" s="329"/>
      <c r="O1511" s="489"/>
      <c r="P1511" s="490"/>
    </row>
    <row r="1512" spans="1:16" x14ac:dyDescent="0.2">
      <c r="A1512" s="493">
        <v>40140</v>
      </c>
      <c r="B1512" s="1707" t="s">
        <v>2128</v>
      </c>
      <c r="C1512" s="1708"/>
      <c r="D1512" s="1215">
        <v>99206</v>
      </c>
      <c r="E1512" s="1231"/>
      <c r="F1512" s="1208"/>
      <c r="G1512" s="1213"/>
      <c r="H1512" s="329"/>
      <c r="I1512" s="489"/>
      <c r="J1512" s="490"/>
      <c r="L1512" s="1208"/>
      <c r="M1512" s="1213"/>
      <c r="N1512" s="329"/>
      <c r="O1512" s="489"/>
      <c r="P1512" s="490"/>
    </row>
    <row r="1513" spans="1:16" x14ac:dyDescent="0.2">
      <c r="A1513" s="493">
        <v>40142</v>
      </c>
      <c r="B1513" s="1707" t="s">
        <v>2129</v>
      </c>
      <c r="C1513" s="1708"/>
      <c r="D1513" s="1215">
        <v>99206</v>
      </c>
      <c r="E1513" s="1231" t="s">
        <v>2127</v>
      </c>
      <c r="F1513" s="1208"/>
      <c r="G1513" s="1213">
        <f>+F1513</f>
        <v>0</v>
      </c>
      <c r="H1513" s="329"/>
      <c r="I1513" s="489"/>
      <c r="J1513" s="490"/>
      <c r="L1513" s="1208"/>
      <c r="M1513" s="1213">
        <f>+L1513</f>
        <v>0</v>
      </c>
      <c r="N1513" s="329"/>
      <c r="O1513" s="489"/>
      <c r="P1513" s="490"/>
    </row>
    <row r="1514" spans="1:16" x14ac:dyDescent="0.2">
      <c r="A1514" s="493" t="s">
        <v>2130</v>
      </c>
      <c r="B1514" s="1699" t="s">
        <v>2131</v>
      </c>
      <c r="C1514" s="1700"/>
      <c r="D1514" s="1215">
        <v>99206</v>
      </c>
      <c r="E1514" s="1231" t="s">
        <v>2132</v>
      </c>
      <c r="F1514" s="1208"/>
      <c r="G1514" s="1213"/>
      <c r="H1514" s="329"/>
      <c r="I1514" s="489"/>
      <c r="J1514" s="490"/>
      <c r="L1514" s="1208"/>
      <c r="M1514" s="1213"/>
      <c r="N1514" s="329"/>
      <c r="O1514" s="489"/>
      <c r="P1514" s="490"/>
    </row>
    <row r="1515" spans="1:16" x14ac:dyDescent="0.2">
      <c r="A1515" s="493" t="s">
        <v>2133</v>
      </c>
      <c r="B1515" s="1699" t="s">
        <v>2134</v>
      </c>
      <c r="C1515" s="1700"/>
      <c r="D1515" s="1215">
        <v>99206</v>
      </c>
      <c r="E1515" s="1231" t="s">
        <v>2132</v>
      </c>
      <c r="F1515" s="1208">
        <v>-1984704</v>
      </c>
      <c r="G1515" s="1213"/>
      <c r="H1515" s="329"/>
      <c r="I1515" s="489"/>
      <c r="J1515" s="490"/>
      <c r="L1515" s="1208"/>
      <c r="M1515" s="1213"/>
      <c r="N1515" s="329"/>
      <c r="O1515" s="489"/>
      <c r="P1515" s="490"/>
    </row>
    <row r="1516" spans="1:16" x14ac:dyDescent="0.2">
      <c r="A1516" s="492">
        <v>30944</v>
      </c>
      <c r="B1516" s="1715" t="s">
        <v>2135</v>
      </c>
      <c r="C1516" s="1713"/>
      <c r="D1516" s="1215">
        <v>99206</v>
      </c>
      <c r="E1516" s="1231"/>
      <c r="F1516" s="1208"/>
      <c r="G1516" s="1213"/>
      <c r="H1516" s="329"/>
      <c r="I1516" s="489"/>
      <c r="J1516" s="490"/>
      <c r="L1516" s="1208"/>
      <c r="M1516" s="1213"/>
      <c r="N1516" s="329"/>
      <c r="O1516" s="489"/>
      <c r="P1516" s="490"/>
    </row>
    <row r="1517" spans="1:16" x14ac:dyDescent="0.2">
      <c r="A1517" s="492">
        <v>30955</v>
      </c>
      <c r="B1517" s="1699" t="s">
        <v>2136</v>
      </c>
      <c r="C1517" s="1700"/>
      <c r="D1517" s="1215">
        <v>99206</v>
      </c>
      <c r="E1517" s="1231"/>
      <c r="F1517" s="1208"/>
      <c r="G1517" s="1213"/>
      <c r="H1517" s="329"/>
      <c r="I1517" s="489"/>
      <c r="J1517" s="490"/>
      <c r="L1517" s="1208"/>
      <c r="M1517" s="1213"/>
      <c r="N1517" s="329"/>
      <c r="O1517" s="489"/>
      <c r="P1517" s="490"/>
    </row>
    <row r="1518" spans="1:16" x14ac:dyDescent="0.2">
      <c r="A1518" s="492">
        <v>31421</v>
      </c>
      <c r="B1518" s="1715" t="s">
        <v>2131</v>
      </c>
      <c r="C1518" s="1713"/>
      <c r="D1518" s="1215">
        <v>99206</v>
      </c>
      <c r="E1518" s="1231"/>
      <c r="F1518" s="1208"/>
      <c r="G1518" s="1213"/>
      <c r="H1518" s="329"/>
      <c r="I1518" s="489"/>
      <c r="J1518" s="490"/>
      <c r="L1518" s="1208"/>
      <c r="M1518" s="1213"/>
      <c r="N1518" s="329"/>
      <c r="O1518" s="489"/>
      <c r="P1518" s="490"/>
    </row>
    <row r="1519" spans="1:16" x14ac:dyDescent="0.2">
      <c r="A1519" s="492">
        <v>30943</v>
      </c>
      <c r="B1519" s="1699" t="s">
        <v>2137</v>
      </c>
      <c r="C1519" s="1700"/>
      <c r="D1519" s="1215">
        <v>99206</v>
      </c>
      <c r="E1519" s="1231"/>
      <c r="F1519" s="1208"/>
      <c r="G1519" s="1213"/>
      <c r="H1519" s="329"/>
      <c r="I1519" s="489"/>
      <c r="J1519" s="490"/>
      <c r="L1519" s="1208"/>
      <c r="M1519" s="1213"/>
      <c r="N1519" s="329"/>
      <c r="O1519" s="489"/>
      <c r="P1519" s="490"/>
    </row>
    <row r="1520" spans="1:16" x14ac:dyDescent="0.2">
      <c r="A1520" s="492">
        <v>30949</v>
      </c>
      <c r="B1520" s="1699" t="s">
        <v>2138</v>
      </c>
      <c r="C1520" s="1700"/>
      <c r="D1520" s="1215">
        <v>99206</v>
      </c>
      <c r="E1520" s="1231"/>
      <c r="F1520" s="1208">
        <v>62461239.060000002</v>
      </c>
      <c r="G1520" s="1213"/>
      <c r="H1520" s="329"/>
      <c r="I1520" s="489"/>
      <c r="J1520" s="490"/>
      <c r="L1520" s="1208"/>
      <c r="M1520" s="1213"/>
      <c r="N1520" s="329"/>
      <c r="O1520" s="489"/>
      <c r="P1520" s="490"/>
    </row>
    <row r="1521" spans="1:16" x14ac:dyDescent="0.2">
      <c r="A1521" s="492">
        <v>30950</v>
      </c>
      <c r="B1521" s="1699" t="s">
        <v>2139</v>
      </c>
      <c r="C1521" s="1700"/>
      <c r="D1521" s="1215">
        <v>99206</v>
      </c>
      <c r="E1521" s="1231"/>
      <c r="F1521" s="1208"/>
      <c r="G1521" s="1213"/>
      <c r="H1521" s="329"/>
      <c r="I1521" s="489"/>
      <c r="J1521" s="490"/>
      <c r="L1521" s="1208"/>
      <c r="M1521" s="1213"/>
      <c r="N1521" s="329"/>
      <c r="O1521" s="489"/>
      <c r="P1521" s="490"/>
    </row>
    <row r="1522" spans="1:16" x14ac:dyDescent="0.2">
      <c r="A1522" s="492">
        <v>30956</v>
      </c>
      <c r="B1522" s="1699" t="s">
        <v>2140</v>
      </c>
      <c r="C1522" s="1700"/>
      <c r="D1522" s="1215">
        <v>99206</v>
      </c>
      <c r="E1522" s="1231" t="s">
        <v>2132</v>
      </c>
      <c r="F1522" s="1208"/>
      <c r="G1522" s="1213"/>
      <c r="H1522" s="329"/>
      <c r="I1522" s="489"/>
      <c r="J1522" s="490"/>
      <c r="L1522" s="1208"/>
      <c r="M1522" s="1213"/>
      <c r="N1522" s="329"/>
      <c r="O1522" s="489"/>
      <c r="P1522" s="490"/>
    </row>
    <row r="1523" spans="1:16" x14ac:dyDescent="0.2">
      <c r="A1523" s="492">
        <v>31280</v>
      </c>
      <c r="B1523" s="1699" t="s">
        <v>2141</v>
      </c>
      <c r="C1523" s="1700"/>
      <c r="D1523" s="1215">
        <v>99206</v>
      </c>
      <c r="E1523" s="1231" t="s">
        <v>2132</v>
      </c>
      <c r="F1523" s="1208"/>
      <c r="G1523" s="1213"/>
      <c r="H1523" s="329"/>
      <c r="I1523" s="489"/>
      <c r="J1523" s="490"/>
      <c r="L1523" s="1208"/>
      <c r="M1523" s="1213"/>
      <c r="N1523" s="329"/>
      <c r="O1523" s="489"/>
      <c r="P1523" s="490"/>
    </row>
    <row r="1524" spans="1:16" x14ac:dyDescent="0.2">
      <c r="A1524" s="488"/>
      <c r="B1524" s="1718"/>
      <c r="C1524" s="1719"/>
      <c r="D1524" s="1218"/>
      <c r="E1524" s="1231"/>
      <c r="F1524" s="1208"/>
      <c r="G1524" s="1213"/>
      <c r="H1524" s="329"/>
      <c r="I1524" s="489"/>
      <c r="J1524" s="490"/>
      <c r="L1524" s="1208"/>
      <c r="M1524" s="1213"/>
      <c r="N1524" s="329"/>
      <c r="O1524" s="489"/>
      <c r="P1524" s="490"/>
    </row>
    <row r="1525" spans="1:16" ht="15" x14ac:dyDescent="0.2">
      <c r="A1525" s="1716" t="s">
        <v>2142</v>
      </c>
      <c r="B1525" s="1716"/>
      <c r="C1525" s="1716"/>
      <c r="D1525" s="1716"/>
      <c r="E1525" s="1716"/>
      <c r="F1525" s="1232">
        <f>SUM(F1505:F1524)</f>
        <v>259869796681.89999</v>
      </c>
      <c r="G1525" s="1233">
        <f>SUM(G1505:G1524)</f>
        <v>259809320146.84</v>
      </c>
      <c r="H1525" s="1233">
        <f>SUM(H1505:H1524)</f>
        <v>0</v>
      </c>
      <c r="I1525" s="1233">
        <f>SUM(I1505:I1524)</f>
        <v>0</v>
      </c>
      <c r="J1525" s="1233">
        <f>SUM(J1505:J1524)</f>
        <v>0</v>
      </c>
      <c r="L1525" s="1232">
        <f>SUM(L1505:L1524)</f>
        <v>272591065963.80002</v>
      </c>
      <c r="M1525" s="1233">
        <f>SUM(M1505:M1524)</f>
        <v>272578973957.80002</v>
      </c>
      <c r="N1525" s="1233">
        <f>SUM(N1505:N1524)</f>
        <v>0</v>
      </c>
      <c r="O1525" s="1233">
        <f>SUM(O1505:O1524)</f>
        <v>0</v>
      </c>
      <c r="P1525" s="1233">
        <f>SUM(P1505:P1524)</f>
        <v>0</v>
      </c>
    </row>
    <row r="1526" spans="1:16" x14ac:dyDescent="0.2">
      <c r="A1526" s="1718"/>
      <c r="B1526" s="1720"/>
      <c r="C1526" s="1720"/>
      <c r="D1526" s="1720"/>
      <c r="E1526" s="1720"/>
      <c r="F1526" s="1719"/>
      <c r="G1526" s="1213">
        <f t="shared" si="10"/>
        <v>0</v>
      </c>
      <c r="H1526" s="329"/>
      <c r="I1526" s="489"/>
      <c r="J1526" s="490"/>
    </row>
    <row r="1527" spans="1:16" ht="38.25" x14ac:dyDescent="0.2">
      <c r="A1527" s="488">
        <v>10005</v>
      </c>
      <c r="B1527" s="1721" t="s">
        <v>2143</v>
      </c>
      <c r="C1527" s="1722"/>
      <c r="D1527" s="1215">
        <v>99201</v>
      </c>
      <c r="E1527" s="1231" t="s">
        <v>1221</v>
      </c>
      <c r="F1527" s="1208">
        <v>708849385</v>
      </c>
      <c r="G1527" s="1213">
        <f>+F1527-I1527</f>
        <v>708849385</v>
      </c>
      <c r="H1527" s="329"/>
      <c r="I1527" s="489"/>
      <c r="J1527" s="490"/>
      <c r="L1527" s="1208">
        <v>708849385</v>
      </c>
      <c r="M1527" s="1213">
        <f t="shared" ref="M1527:M1530" si="12">+L1527-O1527</f>
        <v>708849385</v>
      </c>
      <c r="N1527" s="329"/>
      <c r="O1527" s="489"/>
      <c r="P1527" s="490"/>
    </row>
    <row r="1528" spans="1:16" ht="38.25" x14ac:dyDescent="0.2">
      <c r="A1528" s="488">
        <v>22010</v>
      </c>
      <c r="B1528" s="1721" t="s">
        <v>2144</v>
      </c>
      <c r="C1528" s="1700"/>
      <c r="D1528" s="1215">
        <v>99201</v>
      </c>
      <c r="E1528" s="1231" t="s">
        <v>1221</v>
      </c>
      <c r="F1528" s="1234">
        <v>379631480</v>
      </c>
      <c r="G1528" s="1213">
        <f t="shared" si="10"/>
        <v>379631480</v>
      </c>
      <c r="H1528" s="329"/>
      <c r="I1528" s="489"/>
      <c r="J1528" s="490"/>
      <c r="L1528" s="1234">
        <v>379631480</v>
      </c>
      <c r="M1528" s="1213">
        <f t="shared" si="12"/>
        <v>379631480</v>
      </c>
      <c r="N1528" s="329"/>
      <c r="O1528" s="489"/>
      <c r="P1528" s="490"/>
    </row>
    <row r="1529" spans="1:16" ht="38.25" x14ac:dyDescent="0.2">
      <c r="A1529" s="488">
        <v>10020</v>
      </c>
      <c r="B1529" s="494" t="s">
        <v>2145</v>
      </c>
      <c r="C1529" s="1235"/>
      <c r="D1529" s="1215">
        <v>99201</v>
      </c>
      <c r="E1529" s="1231" t="s">
        <v>1221</v>
      </c>
      <c r="F1529" s="1208">
        <v>517005201.05000001</v>
      </c>
      <c r="G1529" s="1213">
        <f>+F1529-I1529</f>
        <v>517005201.05000001</v>
      </c>
      <c r="H1529" s="329"/>
      <c r="I1529" s="489"/>
      <c r="J1529" s="490"/>
      <c r="L1529" s="1234">
        <v>346694355</v>
      </c>
      <c r="M1529" s="1213">
        <f t="shared" si="12"/>
        <v>346694355</v>
      </c>
      <c r="N1529" s="329"/>
      <c r="O1529" s="489"/>
      <c r="P1529" s="490"/>
    </row>
    <row r="1530" spans="1:16" ht="25.5" x14ac:dyDescent="0.2">
      <c r="A1530" s="495">
        <v>21633</v>
      </c>
      <c r="B1530" s="1715" t="s">
        <v>2146</v>
      </c>
      <c r="C1530" s="1713"/>
      <c r="D1530" s="1215">
        <v>99200</v>
      </c>
      <c r="E1530" s="1231" t="s">
        <v>2147</v>
      </c>
      <c r="F1530" s="1234"/>
      <c r="G1530" s="1213">
        <f t="shared" si="10"/>
        <v>0</v>
      </c>
      <c r="H1530" s="329"/>
      <c r="I1530" s="489"/>
      <c r="J1530" s="490"/>
      <c r="L1530" s="1234">
        <v>9649</v>
      </c>
      <c r="M1530" s="1213">
        <f t="shared" si="12"/>
        <v>9649</v>
      </c>
      <c r="N1530" s="329"/>
      <c r="O1530" s="489"/>
      <c r="P1530" s="490"/>
    </row>
    <row r="1531" spans="1:16" x14ac:dyDescent="0.2">
      <c r="A1531" s="488"/>
      <c r="B1531" s="494"/>
      <c r="C1531" s="1235"/>
      <c r="D1531" s="1218"/>
      <c r="E1531" s="1231"/>
      <c r="F1531" s="1236"/>
      <c r="G1531" s="1213"/>
      <c r="H1531" s="329"/>
      <c r="I1531" s="489"/>
      <c r="J1531" s="490"/>
      <c r="L1531" s="1234"/>
      <c r="M1531" s="1213"/>
      <c r="N1531" s="329"/>
      <c r="O1531" s="489"/>
      <c r="P1531" s="490"/>
    </row>
    <row r="1532" spans="1:16" ht="15" x14ac:dyDescent="0.2">
      <c r="A1532" s="1716" t="s">
        <v>2142</v>
      </c>
      <c r="B1532" s="1716"/>
      <c r="C1532" s="1716"/>
      <c r="D1532" s="1716"/>
      <c r="E1532" s="1716"/>
      <c r="F1532" s="1237">
        <f>SUM(F1527:F1531)</f>
        <v>1605486066.05</v>
      </c>
      <c r="G1532" s="496">
        <f t="shared" ref="G1532:J1532" si="13">SUM(G1527:G1531)</f>
        <v>1605486066.05</v>
      </c>
      <c r="H1532" s="496">
        <f t="shared" si="13"/>
        <v>0</v>
      </c>
      <c r="I1532" s="496">
        <f t="shared" si="13"/>
        <v>0</v>
      </c>
      <c r="J1532" s="496">
        <f t="shared" si="13"/>
        <v>0</v>
      </c>
      <c r="L1532" s="1237">
        <f>SUM(L1527:L1531)</f>
        <v>1435184869</v>
      </c>
      <c r="M1532" s="496">
        <f t="shared" ref="M1532:P1532" si="14">SUM(M1527:M1531)</f>
        <v>1435184869</v>
      </c>
      <c r="N1532" s="496">
        <f t="shared" si="14"/>
        <v>0</v>
      </c>
      <c r="O1532" s="496">
        <f t="shared" si="14"/>
        <v>0</v>
      </c>
      <c r="P1532" s="496">
        <f t="shared" si="14"/>
        <v>0</v>
      </c>
    </row>
    <row r="1533" spans="1:16" ht="15" x14ac:dyDescent="0.2">
      <c r="A1533" s="1717" t="s">
        <v>92</v>
      </c>
      <c r="B1533" s="1717"/>
      <c r="C1533" s="1717"/>
      <c r="D1533" s="1717"/>
      <c r="E1533" s="1717"/>
      <c r="F1533" s="1237">
        <f>+F1525+F1532</f>
        <v>261475282747.94998</v>
      </c>
      <c r="G1533" s="496">
        <f>+G1525+G1532</f>
        <v>261414806212.88998</v>
      </c>
      <c r="H1533" s="329"/>
      <c r="I1533" s="489"/>
      <c r="J1533" s="490"/>
      <c r="L1533" s="1237">
        <f>+L1525+L1532</f>
        <v>274026250832.80002</v>
      </c>
      <c r="M1533" s="496">
        <f>+M1525+M1532</f>
        <v>274014158826.80002</v>
      </c>
      <c r="N1533" s="329"/>
      <c r="O1533" s="489"/>
      <c r="P1533" s="490"/>
    </row>
    <row r="1537" spans="6:6" x14ac:dyDescent="0.2">
      <c r="F1537" s="1131">
        <f>F1536-F1532</f>
        <v>-1605486066.05</v>
      </c>
    </row>
  </sheetData>
  <mergeCells count="64">
    <mergeCell ref="B1530:C1530"/>
    <mergeCell ref="A1532:E1532"/>
    <mergeCell ref="A1533:E1533"/>
    <mergeCell ref="B1523:C1523"/>
    <mergeCell ref="B1524:C1524"/>
    <mergeCell ref="A1525:E1525"/>
    <mergeCell ref="A1526:F1526"/>
    <mergeCell ref="B1527:C1527"/>
    <mergeCell ref="B1528:C1528"/>
    <mergeCell ref="K1505:K1508"/>
    <mergeCell ref="B1506:C1506"/>
    <mergeCell ref="B1507:C1507"/>
    <mergeCell ref="B1508:C1508"/>
    <mergeCell ref="B1522:C1522"/>
    <mergeCell ref="B1511:C1511"/>
    <mergeCell ref="B1512:C1512"/>
    <mergeCell ref="B1513:C1513"/>
    <mergeCell ref="B1514:C1514"/>
    <mergeCell ref="B1515:C1515"/>
    <mergeCell ref="B1516:C1516"/>
    <mergeCell ref="B1517:C1517"/>
    <mergeCell ref="B1518:C1518"/>
    <mergeCell ref="B1519:C1519"/>
    <mergeCell ref="B1520:C1520"/>
    <mergeCell ref="B1521:C1521"/>
    <mergeCell ref="B1510:C1510"/>
    <mergeCell ref="B1494:C1494"/>
    <mergeCell ref="B1495:C1495"/>
    <mergeCell ref="B1498:C1498"/>
    <mergeCell ref="B1499:C1499"/>
    <mergeCell ref="A1503:F1503"/>
    <mergeCell ref="B1504:C1504"/>
    <mergeCell ref="B1505:C1505"/>
    <mergeCell ref="D1145:E1145"/>
    <mergeCell ref="F1145:G1145"/>
    <mergeCell ref="B1493:C1493"/>
    <mergeCell ref="B1482:C1482"/>
    <mergeCell ref="B1483:C1483"/>
    <mergeCell ref="B1484:C1484"/>
    <mergeCell ref="B1485:C1485"/>
    <mergeCell ref="B1486:C1486"/>
    <mergeCell ref="B1487:C1487"/>
    <mergeCell ref="B1488:C1488"/>
    <mergeCell ref="B1489:C1489"/>
    <mergeCell ref="B1490:C1490"/>
    <mergeCell ref="B1491:C1491"/>
    <mergeCell ref="B1492:C1492"/>
    <mergeCell ref="B1481:C1481"/>
    <mergeCell ref="F1471:J1471"/>
    <mergeCell ref="L1471:P1471"/>
    <mergeCell ref="B1472:C1472"/>
    <mergeCell ref="B1473:C1473"/>
    <mergeCell ref="B1474:C1474"/>
    <mergeCell ref="B1475:C1475"/>
    <mergeCell ref="B1476:C1476"/>
    <mergeCell ref="B1477:C1477"/>
    <mergeCell ref="B1478:C1478"/>
    <mergeCell ref="B1479:C1479"/>
    <mergeCell ref="B1480:C1480"/>
    <mergeCell ref="C3:D3"/>
    <mergeCell ref="E3:F3"/>
    <mergeCell ref="G4:H4"/>
    <mergeCell ref="I4:J4"/>
    <mergeCell ref="F744:F746"/>
  </mergeCells>
  <conditionalFormatting sqref="A45">
    <cfRule type="duplicateValues" dxfId="62" priority="16"/>
  </conditionalFormatting>
  <conditionalFormatting sqref="A47:A49">
    <cfRule type="duplicateValues" dxfId="61" priority="42"/>
  </conditionalFormatting>
  <conditionalFormatting sqref="A123">
    <cfRule type="duplicateValues" dxfId="60" priority="38"/>
  </conditionalFormatting>
  <conditionalFormatting sqref="A151:A155">
    <cfRule type="duplicateValues" dxfId="59" priority="43"/>
  </conditionalFormatting>
  <conditionalFormatting sqref="A182">
    <cfRule type="duplicateValues" dxfId="58" priority="1"/>
  </conditionalFormatting>
  <conditionalFormatting sqref="A779:A790">
    <cfRule type="duplicateValues" dxfId="57" priority="37"/>
  </conditionalFormatting>
  <conditionalFormatting sqref="A368">
    <cfRule type="duplicateValues" dxfId="56" priority="2"/>
  </conditionalFormatting>
  <conditionalFormatting sqref="A416:A425">
    <cfRule type="duplicateValues" dxfId="55" priority="39"/>
    <cfRule type="duplicateValues" dxfId="54" priority="40"/>
    <cfRule type="duplicateValues" dxfId="53" priority="41"/>
  </conditionalFormatting>
  <conditionalFormatting sqref="A468">
    <cfRule type="duplicateValues" dxfId="52" priority="15"/>
  </conditionalFormatting>
  <conditionalFormatting sqref="A469">
    <cfRule type="duplicateValues" dxfId="51" priority="14"/>
  </conditionalFormatting>
  <conditionalFormatting sqref="A549">
    <cfRule type="duplicateValues" dxfId="50" priority="7"/>
  </conditionalFormatting>
  <conditionalFormatting sqref="A550">
    <cfRule type="duplicateValues" dxfId="49" priority="6"/>
  </conditionalFormatting>
  <conditionalFormatting sqref="A567">
    <cfRule type="duplicateValues" dxfId="48" priority="11"/>
  </conditionalFormatting>
  <conditionalFormatting sqref="A568">
    <cfRule type="duplicateValues" dxfId="47" priority="10"/>
  </conditionalFormatting>
  <conditionalFormatting sqref="A569">
    <cfRule type="duplicateValues" dxfId="46" priority="12"/>
  </conditionalFormatting>
  <conditionalFormatting sqref="A754:A756">
    <cfRule type="duplicateValues" dxfId="45" priority="31"/>
    <cfRule type="duplicateValues" dxfId="44" priority="32"/>
    <cfRule type="duplicateValues" dxfId="43" priority="33"/>
  </conditionalFormatting>
  <conditionalFormatting sqref="A761:A764">
    <cfRule type="duplicateValues" dxfId="42" priority="36"/>
  </conditionalFormatting>
  <conditionalFormatting sqref="A768:A769">
    <cfRule type="duplicateValues" dxfId="41" priority="35"/>
  </conditionalFormatting>
  <conditionalFormatting sqref="A858:A859">
    <cfRule type="duplicateValues" dxfId="40" priority="20"/>
  </conditionalFormatting>
  <conditionalFormatting sqref="A860:A1380 B353:C353 A1:A44 A50:A150 A46 A551:A566 A198:A367 A470:A548 A1382:A1048576 A183:A196 A369:A467 A570:A857 A156:A181">
    <cfRule type="duplicateValues" dxfId="39" priority="44"/>
  </conditionalFormatting>
  <conditionalFormatting sqref="A1317:A1346">
    <cfRule type="duplicateValues" dxfId="38" priority="34"/>
  </conditionalFormatting>
  <conditionalFormatting sqref="A1381">
    <cfRule type="duplicateValues" dxfId="37" priority="4"/>
  </conditionalFormatting>
  <conditionalFormatting sqref="A1496">
    <cfRule type="duplicateValues" dxfId="36" priority="23"/>
  </conditionalFormatting>
  <conditionalFormatting sqref="A1497">
    <cfRule type="duplicateValues" dxfId="35" priority="22"/>
  </conditionalFormatting>
  <conditionalFormatting sqref="A1510">
    <cfRule type="duplicateValues" dxfId="34" priority="30"/>
  </conditionalFormatting>
  <conditionalFormatting sqref="A1511:A1513">
    <cfRule type="duplicateValues" dxfId="33" priority="29"/>
  </conditionalFormatting>
  <conditionalFormatting sqref="A1514">
    <cfRule type="duplicateValues" dxfId="32" priority="28"/>
  </conditionalFormatting>
  <conditionalFormatting sqref="A1515">
    <cfRule type="duplicateValues" dxfId="31" priority="27"/>
  </conditionalFormatting>
  <conditionalFormatting sqref="A1516">
    <cfRule type="duplicateValues" dxfId="30" priority="26"/>
  </conditionalFormatting>
  <conditionalFormatting sqref="A1517:A1523">
    <cfRule type="duplicateValues" dxfId="29" priority="25"/>
  </conditionalFormatting>
  <conditionalFormatting sqref="A1530">
    <cfRule type="duplicateValues" dxfId="28" priority="24"/>
  </conditionalFormatting>
  <conditionalFormatting sqref="A197:B197">
    <cfRule type="duplicateValues" dxfId="27" priority="5"/>
  </conditionalFormatting>
  <conditionalFormatting sqref="B469">
    <cfRule type="duplicateValues" dxfId="26" priority="13"/>
  </conditionalFormatting>
  <conditionalFormatting sqref="B488">
    <cfRule type="duplicateValues" dxfId="25" priority="21"/>
  </conditionalFormatting>
  <conditionalFormatting sqref="B568">
    <cfRule type="duplicateValues" dxfId="24" priority="9"/>
  </conditionalFormatting>
  <conditionalFormatting sqref="B717">
    <cfRule type="duplicateValues" dxfId="23" priority="3"/>
  </conditionalFormatting>
  <conditionalFormatting sqref="B718">
    <cfRule type="duplicateValues" dxfId="22" priority="17"/>
  </conditionalFormatting>
  <conditionalFormatting sqref="B1375">
    <cfRule type="duplicateValues" dxfId="21" priority="8"/>
  </conditionalFormatting>
  <conditionalFormatting sqref="E846:E1141">
    <cfRule type="duplicateValues" dxfId="20" priority="18"/>
  </conditionalFormatting>
  <conditionalFormatting sqref="E1025:E1141">
    <cfRule type="duplicateValues" dxfId="19" priority="19"/>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77"/>
  <sheetViews>
    <sheetView workbookViewId="0">
      <selection sqref="A1:XFD1048576"/>
    </sheetView>
  </sheetViews>
  <sheetFormatPr defaultRowHeight="12.75" x14ac:dyDescent="0.2"/>
  <cols>
    <col min="1" max="1" width="8.7109375" customWidth="1"/>
    <col min="2" max="2" width="7" customWidth="1"/>
    <col min="3" max="3" width="49" style="1295" customWidth="1"/>
    <col min="4" max="4" width="16.140625" style="1238" customWidth="1"/>
    <col min="5" max="5" width="16.5703125" style="1238" customWidth="1"/>
    <col min="6" max="6" width="16.7109375" style="1238" customWidth="1"/>
    <col min="7" max="7" width="16.5703125" style="1238" customWidth="1"/>
    <col min="8" max="8" width="15.42578125" bestFit="1" customWidth="1"/>
    <col min="9" max="9" width="12.7109375" bestFit="1" customWidth="1"/>
    <col min="10" max="10" width="10" bestFit="1" customWidth="1"/>
    <col min="11" max="11" width="9.5703125" bestFit="1" customWidth="1"/>
    <col min="12" max="12" width="13.5703125" customWidth="1"/>
    <col min="13" max="13" width="14.28515625" customWidth="1"/>
    <col min="15" max="15" width="12" bestFit="1" customWidth="1"/>
    <col min="16" max="16" width="7.7109375" bestFit="1" customWidth="1"/>
    <col min="17" max="17" width="15.42578125" style="1239" bestFit="1" customWidth="1"/>
    <col min="18" max="18" width="10.7109375" bestFit="1" customWidth="1"/>
  </cols>
  <sheetData>
    <row r="1" spans="1:8" ht="15.75" x14ac:dyDescent="0.25">
      <c r="A1" s="1724" t="s">
        <v>2148</v>
      </c>
      <c r="B1" s="1725"/>
      <c r="C1" s="1725"/>
      <c r="D1" s="1725"/>
      <c r="E1" s="1726"/>
    </row>
    <row r="2" spans="1:8" ht="15.75" x14ac:dyDescent="0.2">
      <c r="A2" s="497" t="str">
        <f>'[15]balance sheet P&amp;L'!B344</f>
        <v>Notes to the Financial Statements for the year ended 31st March, 2023</v>
      </c>
      <c r="B2" s="498"/>
      <c r="C2" s="1240"/>
      <c r="D2" s="1241"/>
      <c r="E2" s="1242" t="s">
        <v>832</v>
      </c>
      <c r="H2" s="499"/>
    </row>
    <row r="3" spans="1:8" ht="15" x14ac:dyDescent="0.25">
      <c r="A3" s="500"/>
      <c r="B3" s="501"/>
      <c r="C3" s="1243"/>
      <c r="D3" s="1727" t="str">
        <f>'[15]balance sheet P&amp;L'!D78</f>
        <v>2022-23</v>
      </c>
      <c r="E3" s="1728"/>
      <c r="F3" s="1727" t="str">
        <f>+'[15]balance sheet P&amp;L'!E78</f>
        <v>2021-22</v>
      </c>
      <c r="G3" s="1728"/>
    </row>
    <row r="4" spans="1:8" x14ac:dyDescent="0.2">
      <c r="A4" s="502" t="s">
        <v>1035</v>
      </c>
      <c r="B4" s="503" t="s">
        <v>150</v>
      </c>
      <c r="C4" s="1244" t="s">
        <v>63</v>
      </c>
      <c r="D4" s="1245"/>
      <c r="E4" s="1245"/>
      <c r="F4" s="1246"/>
      <c r="G4" s="1247"/>
    </row>
    <row r="5" spans="1:8" ht="15" x14ac:dyDescent="0.25">
      <c r="A5" s="504"/>
      <c r="B5" s="505">
        <v>22</v>
      </c>
      <c r="C5" s="1248" t="s">
        <v>2149</v>
      </c>
      <c r="D5" s="1247"/>
      <c r="E5" s="1247"/>
      <c r="F5" s="1246"/>
      <c r="G5" s="1247"/>
    </row>
    <row r="6" spans="1:8" ht="15" x14ac:dyDescent="0.25">
      <c r="A6" s="502">
        <v>61310</v>
      </c>
      <c r="B6" s="505"/>
      <c r="C6" s="1249" t="s">
        <v>2150</v>
      </c>
      <c r="D6" s="1247">
        <f>'[15]Input Sheet'!G1051</f>
        <v>9.8212269610000007</v>
      </c>
      <c r="E6" s="1247"/>
      <c r="F6" s="1246">
        <v>8.6669739379999999</v>
      </c>
      <c r="G6" s="1247"/>
    </row>
    <row r="7" spans="1:8" ht="15" x14ac:dyDescent="0.25">
      <c r="A7" s="502">
        <v>61311</v>
      </c>
      <c r="B7" s="505"/>
      <c r="C7" s="1249" t="s">
        <v>2151</v>
      </c>
      <c r="D7" s="1247">
        <f>'[15]Input Sheet'!G1052</f>
        <v>0.4452508</v>
      </c>
      <c r="E7" s="1247"/>
      <c r="F7" s="1246">
        <v>0.41871879300000003</v>
      </c>
      <c r="G7" s="1247"/>
    </row>
    <row r="8" spans="1:8" ht="15" x14ac:dyDescent="0.25">
      <c r="A8" s="502">
        <v>61312</v>
      </c>
      <c r="B8" s="505"/>
      <c r="C8" s="1249" t="s">
        <v>2152</v>
      </c>
      <c r="D8" s="1247">
        <f>'[15]Input Sheet'!G1053</f>
        <v>0</v>
      </c>
      <c r="E8" s="1247"/>
      <c r="F8" s="1246">
        <v>9.0600000000000007E-5</v>
      </c>
      <c r="G8" s="1247"/>
    </row>
    <row r="9" spans="1:8" ht="15" x14ac:dyDescent="0.25">
      <c r="A9" s="502">
        <v>61315</v>
      </c>
      <c r="B9" s="505"/>
      <c r="C9" s="1249" t="s">
        <v>2153</v>
      </c>
      <c r="D9" s="1247">
        <f>'[15]Input Sheet'!G1054</f>
        <v>0</v>
      </c>
      <c r="E9" s="1247"/>
      <c r="F9" s="1246">
        <v>0</v>
      </c>
      <c r="G9" s="1247"/>
    </row>
    <row r="10" spans="1:8" ht="15" x14ac:dyDescent="0.25">
      <c r="A10" s="502">
        <v>61316</v>
      </c>
      <c r="B10" s="505"/>
      <c r="C10" s="1249" t="s">
        <v>2154</v>
      </c>
      <c r="D10" s="1247">
        <f>'[15]Input Sheet'!G1055</f>
        <v>0</v>
      </c>
      <c r="E10" s="1247"/>
      <c r="F10" s="1246">
        <v>0</v>
      </c>
      <c r="G10" s="1247"/>
    </row>
    <row r="11" spans="1:8" ht="15" x14ac:dyDescent="0.25">
      <c r="A11" s="502">
        <v>61321</v>
      </c>
      <c r="B11" s="505"/>
      <c r="C11" s="1249" t="s">
        <v>2155</v>
      </c>
      <c r="D11" s="1247">
        <f>'[15]Input Sheet'!G1056</f>
        <v>0</v>
      </c>
      <c r="E11" s="1247"/>
      <c r="F11" s="1246">
        <v>0</v>
      </c>
      <c r="G11" s="1247"/>
    </row>
    <row r="12" spans="1:8" ht="15" x14ac:dyDescent="0.25">
      <c r="A12" s="502">
        <v>61331</v>
      </c>
      <c r="B12" s="505"/>
      <c r="C12" s="1249" t="s">
        <v>2156</v>
      </c>
      <c r="D12" s="1247">
        <f>'[15]Input Sheet'!G1057</f>
        <v>17.502466299999998</v>
      </c>
      <c r="E12" s="1247"/>
      <c r="F12" s="1246">
        <v>0</v>
      </c>
      <c r="G12" s="1247"/>
    </row>
    <row r="13" spans="1:8" ht="15" x14ac:dyDescent="0.25">
      <c r="A13" s="502">
        <v>61332</v>
      </c>
      <c r="B13" s="505"/>
      <c r="C13" s="1249" t="s">
        <v>2157</v>
      </c>
      <c r="D13" s="1250">
        <f>'[15]Input Sheet'!G1058</f>
        <v>17.3940473</v>
      </c>
      <c r="E13" s="1250"/>
      <c r="F13" s="1251"/>
      <c r="G13" s="1250"/>
    </row>
    <row r="14" spans="1:8" ht="15" x14ac:dyDescent="0.25">
      <c r="A14" s="502">
        <v>61370</v>
      </c>
      <c r="B14" s="505"/>
      <c r="C14" s="1249" t="s">
        <v>2158</v>
      </c>
      <c r="D14" s="1247">
        <f>'[15]Input Sheet'!G1059</f>
        <v>18.350638844999999</v>
      </c>
      <c r="E14" s="1247"/>
      <c r="F14" s="1246">
        <v>0.301139347</v>
      </c>
      <c r="G14" s="1247"/>
    </row>
    <row r="15" spans="1:8" ht="15" x14ac:dyDescent="0.25">
      <c r="A15" s="502">
        <v>61351</v>
      </c>
      <c r="B15" s="505"/>
      <c r="C15" s="1249" t="s">
        <v>2159</v>
      </c>
      <c r="D15" s="1247">
        <f>'[15]Input Sheet'!G1060</f>
        <v>58.323167092999995</v>
      </c>
      <c r="E15" s="1247"/>
      <c r="F15" s="1246"/>
      <c r="G15" s="1247"/>
    </row>
    <row r="16" spans="1:8" ht="16.5" customHeight="1" x14ac:dyDescent="0.25">
      <c r="A16" s="502">
        <v>61410</v>
      </c>
      <c r="B16" s="505"/>
      <c r="C16" s="1249" t="s">
        <v>943</v>
      </c>
      <c r="D16" s="1247">
        <f>'[15]Input Sheet'!G1061</f>
        <v>23864.699856742998</v>
      </c>
      <c r="E16" s="1247"/>
      <c r="F16" s="1246">
        <v>21846.073792431001</v>
      </c>
      <c r="G16" s="1247"/>
    </row>
    <row r="17" spans="1:7" ht="16.5" customHeight="1" x14ac:dyDescent="0.25">
      <c r="A17" s="506">
        <v>61411</v>
      </c>
      <c r="B17" s="505"/>
      <c r="C17" s="1249" t="s">
        <v>2160</v>
      </c>
      <c r="D17" s="1247">
        <f>'[15]Input Sheet'!G1062</f>
        <v>0</v>
      </c>
      <c r="E17" s="1247"/>
      <c r="F17" s="1246">
        <v>0</v>
      </c>
      <c r="G17" s="1247"/>
    </row>
    <row r="18" spans="1:7" ht="15" x14ac:dyDescent="0.25">
      <c r="A18" s="502">
        <v>61412</v>
      </c>
      <c r="B18" s="505"/>
      <c r="C18" s="1249" t="s">
        <v>2161</v>
      </c>
      <c r="D18" s="1247">
        <f>'[15]Input Sheet'!G1063</f>
        <v>4782.3322485070003</v>
      </c>
      <c r="E18" s="1247"/>
      <c r="F18" s="1246">
        <v>13.991143697999998</v>
      </c>
      <c r="G18" s="1247"/>
    </row>
    <row r="19" spans="1:7" ht="15" x14ac:dyDescent="0.25">
      <c r="A19" s="502">
        <f>'[15]Input Sheet'!D1064</f>
        <v>61413</v>
      </c>
      <c r="B19" s="505"/>
      <c r="C19" s="1249" t="str">
        <f>'[15]Input Sheet'!E1064</f>
        <v>Compensation</v>
      </c>
      <c r="D19" s="1247">
        <f>'[15]Input Sheet'!G1064</f>
        <v>117.7187655</v>
      </c>
      <c r="E19" s="1247"/>
      <c r="F19" s="1246">
        <v>33.887248499999998</v>
      </c>
      <c r="G19" s="1247"/>
    </row>
    <row r="20" spans="1:7" ht="15" x14ac:dyDescent="0.25">
      <c r="A20" s="502">
        <v>61417</v>
      </c>
      <c r="B20" s="505"/>
      <c r="C20" s="1249" t="s">
        <v>2162</v>
      </c>
      <c r="D20" s="1247">
        <f>'[15]Input Sheet'!G1065</f>
        <v>1.2050905999999999</v>
      </c>
      <c r="E20" s="1247"/>
      <c r="F20" s="1246">
        <v>0</v>
      </c>
      <c r="G20" s="1247"/>
    </row>
    <row r="21" spans="1:7" ht="15" x14ac:dyDescent="0.25">
      <c r="A21" s="502">
        <v>61501</v>
      </c>
      <c r="B21" s="505"/>
      <c r="C21" s="1249" t="s">
        <v>2163</v>
      </c>
      <c r="D21" s="1247">
        <f>+'[15]Input Sheet'!G1067</f>
        <v>0</v>
      </c>
      <c r="E21" s="1247"/>
      <c r="F21" s="1246">
        <v>-2.0812589999999998E-3</v>
      </c>
      <c r="G21" s="1247"/>
    </row>
    <row r="22" spans="1:7" ht="15" x14ac:dyDescent="0.25">
      <c r="A22" s="504">
        <f>'[15]Input Sheet'!D1315</f>
        <v>79571</v>
      </c>
      <c r="B22" s="505"/>
      <c r="C22" s="1252" t="str">
        <f>'[15]Input Sheet'!E1315</f>
        <v>Deviation Settlement Mechanism (DSM) Charges</v>
      </c>
      <c r="D22" s="1247">
        <f>IF('[15]Input Sheet'!G1315&gt;0,0,-'[15]Input Sheet'!G1315)</f>
        <v>0</v>
      </c>
      <c r="E22" s="1247"/>
      <c r="F22" s="1246">
        <v>47.690220099999998</v>
      </c>
      <c r="G22" s="1247"/>
    </row>
    <row r="23" spans="1:7" ht="15" x14ac:dyDescent="0.25">
      <c r="A23" s="504"/>
      <c r="B23" s="505"/>
      <c r="C23" s="1248" t="s">
        <v>92</v>
      </c>
      <c r="D23" s="1245">
        <f>SUM(D6:D22)</f>
        <v>28887.792758649004</v>
      </c>
      <c r="E23" s="1245">
        <f>+D23</f>
        <v>28887.792758649004</v>
      </c>
      <c r="F23" s="1253">
        <f>SUM(F6:F22)</f>
        <v>21951.027246148002</v>
      </c>
      <c r="G23" s="1245">
        <f>+F23</f>
        <v>21951.027246148002</v>
      </c>
    </row>
    <row r="24" spans="1:7" ht="15" x14ac:dyDescent="0.25">
      <c r="A24" s="504"/>
      <c r="B24" s="505"/>
      <c r="C24" s="1254"/>
      <c r="D24" s="1255"/>
      <c r="E24" s="1255"/>
      <c r="F24" s="1246"/>
      <c r="G24" s="1247"/>
    </row>
    <row r="25" spans="1:7" ht="15" x14ac:dyDescent="0.25">
      <c r="A25" s="504"/>
      <c r="B25" s="505">
        <v>23</v>
      </c>
      <c r="C25" s="1248" t="s">
        <v>944</v>
      </c>
      <c r="D25" s="1247"/>
      <c r="E25" s="1247"/>
      <c r="F25" s="1246"/>
      <c r="G25" s="1247"/>
    </row>
    <row r="26" spans="1:7" ht="15" x14ac:dyDescent="0.25">
      <c r="A26" s="504"/>
      <c r="B26" s="505"/>
      <c r="C26" s="1249"/>
      <c r="D26" s="1247"/>
      <c r="E26" s="1247"/>
      <c r="F26" s="1246"/>
      <c r="G26" s="1247"/>
    </row>
    <row r="27" spans="1:7" ht="15" x14ac:dyDescent="0.25">
      <c r="A27" s="502">
        <v>61451</v>
      </c>
      <c r="B27" s="505"/>
      <c r="C27" s="1249" t="s">
        <v>2164</v>
      </c>
      <c r="D27" s="1247"/>
      <c r="E27" s="1247">
        <f>'[15]Input Sheet'!G1066</f>
        <v>3949.250313</v>
      </c>
      <c r="F27" s="1246"/>
      <c r="G27" s="1247">
        <v>1108.1559973000001</v>
      </c>
    </row>
    <row r="28" spans="1:7" ht="15" x14ac:dyDescent="0.25">
      <c r="A28" s="502">
        <v>62352</v>
      </c>
      <c r="B28" s="505"/>
      <c r="C28" s="1249" t="s">
        <v>556</v>
      </c>
      <c r="D28" s="1247"/>
      <c r="E28" s="1247">
        <f>'[15]Input Sheet'!G1085</f>
        <v>117.87754211099998</v>
      </c>
      <c r="F28" s="1246"/>
      <c r="G28" s="1247">
        <v>51.313423444000001</v>
      </c>
    </row>
    <row r="29" spans="1:7" ht="15" x14ac:dyDescent="0.25">
      <c r="A29" s="502">
        <v>77730</v>
      </c>
      <c r="B29" s="505"/>
      <c r="C29" s="261" t="s">
        <v>557</v>
      </c>
      <c r="D29" s="1247"/>
      <c r="E29" s="1247">
        <f>+'[15]Input Sheet'!G1272</f>
        <v>1.536765613</v>
      </c>
      <c r="F29" s="1246"/>
      <c r="G29" s="1247">
        <v>0</v>
      </c>
    </row>
    <row r="30" spans="1:7" ht="15" x14ac:dyDescent="0.25">
      <c r="A30" s="502">
        <v>62401</v>
      </c>
      <c r="B30" s="505"/>
      <c r="C30" s="1249" t="s">
        <v>558</v>
      </c>
      <c r="D30" s="1247"/>
      <c r="E30" s="1247">
        <f>'[15]Input Sheet'!G1086</f>
        <v>116.40306378199999</v>
      </c>
      <c r="F30" s="1246"/>
      <c r="G30" s="1247">
        <v>181.65357375799999</v>
      </c>
    </row>
    <row r="31" spans="1:7" ht="15" x14ac:dyDescent="0.25">
      <c r="A31" s="502"/>
      <c r="B31" s="505"/>
      <c r="C31" s="1249"/>
      <c r="D31" s="1247"/>
      <c r="E31" s="1247"/>
      <c r="F31" s="1246"/>
      <c r="G31" s="1247"/>
    </row>
    <row r="32" spans="1:7" ht="15" x14ac:dyDescent="0.25">
      <c r="A32" s="504"/>
      <c r="B32" s="505"/>
      <c r="C32" s="1256" t="s">
        <v>559</v>
      </c>
      <c r="D32" s="1247"/>
      <c r="E32" s="1247">
        <f>SUM(D33:D36)</f>
        <v>0</v>
      </c>
      <c r="F32" s="1246"/>
      <c r="G32" s="1247">
        <f>SUM(F33:F36)</f>
        <v>0</v>
      </c>
    </row>
    <row r="33" spans="1:255" x14ac:dyDescent="0.2">
      <c r="A33" s="502">
        <v>62341</v>
      </c>
      <c r="B33" s="507"/>
      <c r="C33" s="1257" t="s">
        <v>2165</v>
      </c>
      <c r="D33" s="1247">
        <f>'[15]Input Sheet'!G1081</f>
        <v>0</v>
      </c>
      <c r="E33" s="1247"/>
      <c r="F33" s="1258">
        <v>0</v>
      </c>
      <c r="G33" s="1259"/>
      <c r="H33" s="508"/>
      <c r="I33" s="508"/>
      <c r="J33" s="508"/>
      <c r="K33" s="508"/>
      <c r="L33" s="508"/>
      <c r="M33" s="508"/>
      <c r="N33" s="508"/>
      <c r="O33" s="508"/>
      <c r="P33" s="508"/>
      <c r="Q33" s="1190"/>
      <c r="R33" s="508"/>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8"/>
      <c r="AQ33" s="508"/>
      <c r="AR33" s="508"/>
      <c r="AS33" s="508"/>
      <c r="AT33" s="508"/>
      <c r="AU33" s="508"/>
      <c r="AV33" s="508"/>
      <c r="AW33" s="508"/>
      <c r="AX33" s="508"/>
      <c r="AY33" s="508"/>
      <c r="AZ33" s="508"/>
      <c r="BA33" s="508"/>
      <c r="BB33" s="508"/>
      <c r="BC33" s="508"/>
      <c r="BD33" s="508"/>
      <c r="BE33" s="508"/>
      <c r="BF33" s="508"/>
      <c r="BG33" s="508"/>
      <c r="BH33" s="508"/>
      <c r="BI33" s="508"/>
      <c r="BJ33" s="508"/>
      <c r="BK33" s="508"/>
      <c r="BL33" s="508"/>
      <c r="BM33" s="508"/>
      <c r="BN33" s="508"/>
      <c r="BO33" s="508"/>
      <c r="BP33" s="508"/>
      <c r="BQ33" s="508"/>
      <c r="BR33" s="508"/>
      <c r="BS33" s="508"/>
      <c r="BT33" s="508"/>
      <c r="BU33" s="508"/>
      <c r="BV33" s="508"/>
      <c r="BW33" s="508"/>
      <c r="BX33" s="508"/>
      <c r="BY33" s="508"/>
      <c r="BZ33" s="508"/>
      <c r="CA33" s="508"/>
      <c r="CB33" s="508"/>
      <c r="CC33" s="508"/>
      <c r="CD33" s="508"/>
      <c r="CE33" s="508"/>
      <c r="CF33" s="508"/>
      <c r="CG33" s="508"/>
      <c r="CH33" s="508"/>
      <c r="CI33" s="508"/>
      <c r="CJ33" s="508"/>
      <c r="CK33" s="508"/>
      <c r="CL33" s="508"/>
      <c r="CM33" s="508"/>
      <c r="CN33" s="508"/>
      <c r="CO33" s="508"/>
      <c r="CP33" s="508"/>
      <c r="CQ33" s="508"/>
      <c r="CR33" s="508"/>
      <c r="CS33" s="508"/>
      <c r="CT33" s="508"/>
      <c r="CU33" s="508"/>
      <c r="CV33" s="508"/>
      <c r="CW33" s="508"/>
      <c r="CX33" s="508"/>
      <c r="CY33" s="508"/>
      <c r="CZ33" s="508"/>
      <c r="DA33" s="508"/>
      <c r="DB33" s="508"/>
      <c r="DC33" s="508"/>
      <c r="DD33" s="508"/>
      <c r="DE33" s="508"/>
      <c r="DF33" s="508"/>
      <c r="DG33" s="508"/>
      <c r="DH33" s="508"/>
      <c r="DI33" s="508"/>
      <c r="DJ33" s="508"/>
      <c r="DK33" s="508"/>
      <c r="DL33" s="508"/>
      <c r="DM33" s="508"/>
      <c r="DN33" s="508"/>
      <c r="DO33" s="508"/>
      <c r="DP33" s="508"/>
      <c r="DQ33" s="508"/>
      <c r="DR33" s="508"/>
      <c r="DS33" s="508"/>
      <c r="DT33" s="508"/>
      <c r="DU33" s="508"/>
      <c r="DV33" s="508"/>
      <c r="DW33" s="508"/>
      <c r="DX33" s="508"/>
      <c r="DY33" s="508"/>
      <c r="DZ33" s="508"/>
      <c r="EA33" s="508"/>
      <c r="EB33" s="508"/>
      <c r="EC33" s="508"/>
      <c r="ED33" s="508"/>
      <c r="EE33" s="508"/>
      <c r="EF33" s="508"/>
      <c r="EG33" s="508"/>
      <c r="EH33" s="508"/>
      <c r="EI33" s="508"/>
      <c r="EJ33" s="508"/>
      <c r="EK33" s="508"/>
      <c r="EL33" s="508"/>
      <c r="EM33" s="508"/>
      <c r="EN33" s="508"/>
      <c r="EO33" s="508"/>
      <c r="EP33" s="508"/>
      <c r="EQ33" s="508"/>
      <c r="ER33" s="508"/>
      <c r="ES33" s="508"/>
      <c r="ET33" s="508"/>
      <c r="EU33" s="508"/>
      <c r="EV33" s="508"/>
      <c r="EW33" s="508"/>
      <c r="EX33" s="508"/>
      <c r="EY33" s="508"/>
      <c r="EZ33" s="508"/>
      <c r="FA33" s="508"/>
      <c r="FB33" s="508"/>
      <c r="FC33" s="508"/>
      <c r="FD33" s="508"/>
      <c r="FE33" s="508"/>
      <c r="FF33" s="508"/>
      <c r="FG33" s="508"/>
      <c r="FH33" s="508"/>
      <c r="FI33" s="508"/>
      <c r="FJ33" s="508"/>
      <c r="FK33" s="508"/>
      <c r="FL33" s="508"/>
      <c r="FM33" s="508"/>
      <c r="FN33" s="508"/>
      <c r="FO33" s="508"/>
      <c r="FP33" s="508"/>
      <c r="FQ33" s="508"/>
      <c r="FR33" s="508"/>
      <c r="FS33" s="508"/>
      <c r="FT33" s="508"/>
      <c r="FU33" s="508"/>
      <c r="FV33" s="508"/>
      <c r="FW33" s="508"/>
      <c r="FX33" s="508"/>
      <c r="FY33" s="508"/>
      <c r="FZ33" s="508"/>
      <c r="GA33" s="508"/>
      <c r="GB33" s="508"/>
      <c r="GC33" s="508"/>
      <c r="GD33" s="508"/>
      <c r="GE33" s="508"/>
      <c r="GF33" s="508"/>
      <c r="GG33" s="508"/>
      <c r="GH33" s="508"/>
      <c r="GI33" s="508"/>
      <c r="GJ33" s="508"/>
      <c r="GK33" s="508"/>
      <c r="GL33" s="508"/>
      <c r="GM33" s="508"/>
      <c r="GN33" s="508"/>
      <c r="GO33" s="508"/>
      <c r="GP33" s="508"/>
      <c r="GQ33" s="508"/>
      <c r="GR33" s="508"/>
      <c r="GS33" s="508"/>
      <c r="GT33" s="508"/>
      <c r="GU33" s="508"/>
      <c r="GV33" s="508"/>
      <c r="GW33" s="508"/>
      <c r="GX33" s="508"/>
      <c r="GY33" s="508"/>
      <c r="GZ33" s="508"/>
      <c r="HA33" s="508"/>
      <c r="HB33" s="508"/>
      <c r="HC33" s="508"/>
      <c r="HD33" s="508"/>
      <c r="HE33" s="508"/>
      <c r="HF33" s="508"/>
      <c r="HG33" s="508"/>
      <c r="HH33" s="508"/>
      <c r="HI33" s="508"/>
      <c r="HJ33" s="508"/>
      <c r="HK33" s="508"/>
      <c r="HL33" s="508"/>
      <c r="HM33" s="508"/>
      <c r="HN33" s="508"/>
      <c r="HO33" s="508"/>
      <c r="HP33" s="508"/>
      <c r="HQ33" s="508"/>
      <c r="HR33" s="508"/>
      <c r="HS33" s="508"/>
      <c r="HT33" s="508"/>
      <c r="HU33" s="508"/>
      <c r="HV33" s="508"/>
      <c r="HW33" s="508"/>
      <c r="HX33" s="508"/>
      <c r="HY33" s="508"/>
      <c r="HZ33" s="508"/>
      <c r="IA33" s="508"/>
      <c r="IB33" s="508"/>
      <c r="IC33" s="508"/>
      <c r="ID33" s="508"/>
      <c r="IE33" s="508"/>
      <c r="IF33" s="508"/>
      <c r="IG33" s="508"/>
      <c r="IH33" s="508"/>
      <c r="II33" s="508"/>
      <c r="IJ33" s="508"/>
      <c r="IK33" s="508"/>
      <c r="IL33" s="508"/>
      <c r="IM33" s="508"/>
      <c r="IN33" s="508"/>
      <c r="IO33" s="508"/>
      <c r="IP33" s="508"/>
      <c r="IQ33" s="508"/>
      <c r="IR33" s="508"/>
      <c r="IS33" s="508"/>
      <c r="IT33" s="508"/>
      <c r="IU33" s="508"/>
    </row>
    <row r="34" spans="1:255" x14ac:dyDescent="0.2">
      <c r="A34" s="502">
        <v>62342</v>
      </c>
      <c r="B34" s="507"/>
      <c r="C34" s="1257" t="s">
        <v>2166</v>
      </c>
      <c r="D34" s="1247">
        <f>'[15]Input Sheet'!G1082</f>
        <v>0</v>
      </c>
      <c r="E34" s="1247"/>
      <c r="F34" s="1258">
        <v>0</v>
      </c>
      <c r="G34" s="1259"/>
      <c r="H34" s="508"/>
      <c r="I34" s="508"/>
      <c r="J34" s="508"/>
      <c r="K34" s="508"/>
      <c r="L34" s="508"/>
      <c r="M34" s="508"/>
      <c r="N34" s="508"/>
      <c r="O34" s="508"/>
      <c r="P34" s="508"/>
      <c r="Q34" s="1190"/>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8"/>
      <c r="AQ34" s="508"/>
      <c r="AR34" s="508"/>
      <c r="AS34" s="508"/>
      <c r="AT34" s="508"/>
      <c r="AU34" s="508"/>
      <c r="AV34" s="508"/>
      <c r="AW34" s="508"/>
      <c r="AX34" s="508"/>
      <c r="AY34" s="508"/>
      <c r="AZ34" s="508"/>
      <c r="BA34" s="508"/>
      <c r="BB34" s="508"/>
      <c r="BC34" s="508"/>
      <c r="BD34" s="508"/>
      <c r="BE34" s="508"/>
      <c r="BF34" s="508"/>
      <c r="BG34" s="508"/>
      <c r="BH34" s="508"/>
      <c r="BI34" s="508"/>
      <c r="BJ34" s="508"/>
      <c r="BK34" s="508"/>
      <c r="BL34" s="508"/>
      <c r="BM34" s="508"/>
      <c r="BN34" s="508"/>
      <c r="BO34" s="508"/>
      <c r="BP34" s="508"/>
      <c r="BQ34" s="508"/>
      <c r="BR34" s="508"/>
      <c r="BS34" s="508"/>
      <c r="BT34" s="508"/>
      <c r="BU34" s="508"/>
      <c r="BV34" s="508"/>
      <c r="BW34" s="508"/>
      <c r="BX34" s="508"/>
      <c r="BY34" s="508"/>
      <c r="BZ34" s="508"/>
      <c r="CA34" s="508"/>
      <c r="CB34" s="508"/>
      <c r="CC34" s="508"/>
      <c r="CD34" s="508"/>
      <c r="CE34" s="508"/>
      <c r="CF34" s="508"/>
      <c r="CG34" s="508"/>
      <c r="CH34" s="508"/>
      <c r="CI34" s="508"/>
      <c r="CJ34" s="508"/>
      <c r="CK34" s="508"/>
      <c r="CL34" s="508"/>
      <c r="CM34" s="508"/>
      <c r="CN34" s="508"/>
      <c r="CO34" s="508"/>
      <c r="CP34" s="508"/>
      <c r="CQ34" s="508"/>
      <c r="CR34" s="508"/>
      <c r="CS34" s="508"/>
      <c r="CT34" s="508"/>
      <c r="CU34" s="508"/>
      <c r="CV34" s="508"/>
      <c r="CW34" s="508"/>
      <c r="CX34" s="508"/>
      <c r="CY34" s="508"/>
      <c r="CZ34" s="508"/>
      <c r="DA34" s="508"/>
      <c r="DB34" s="508"/>
      <c r="DC34" s="508"/>
      <c r="DD34" s="508"/>
      <c r="DE34" s="508"/>
      <c r="DF34" s="508"/>
      <c r="DG34" s="508"/>
      <c r="DH34" s="508"/>
      <c r="DI34" s="508"/>
      <c r="DJ34" s="508"/>
      <c r="DK34" s="508"/>
      <c r="DL34" s="508"/>
      <c r="DM34" s="508"/>
      <c r="DN34" s="508"/>
      <c r="DO34" s="508"/>
      <c r="DP34" s="508"/>
      <c r="DQ34" s="508"/>
      <c r="DR34" s="508"/>
      <c r="DS34" s="508"/>
      <c r="DT34" s="508"/>
      <c r="DU34" s="508"/>
      <c r="DV34" s="508"/>
      <c r="DW34" s="508"/>
      <c r="DX34" s="508"/>
      <c r="DY34" s="508"/>
      <c r="DZ34" s="508"/>
      <c r="EA34" s="508"/>
      <c r="EB34" s="508"/>
      <c r="EC34" s="508"/>
      <c r="ED34" s="508"/>
      <c r="EE34" s="508"/>
      <c r="EF34" s="508"/>
      <c r="EG34" s="508"/>
      <c r="EH34" s="508"/>
      <c r="EI34" s="508"/>
      <c r="EJ34" s="508"/>
      <c r="EK34" s="508"/>
      <c r="EL34" s="508"/>
      <c r="EM34" s="508"/>
      <c r="EN34" s="508"/>
      <c r="EO34" s="508"/>
      <c r="EP34" s="508"/>
      <c r="EQ34" s="508"/>
      <c r="ER34" s="508"/>
      <c r="ES34" s="508"/>
      <c r="ET34" s="508"/>
      <c r="EU34" s="508"/>
      <c r="EV34" s="508"/>
      <c r="EW34" s="508"/>
      <c r="EX34" s="508"/>
      <c r="EY34" s="508"/>
      <c r="EZ34" s="508"/>
      <c r="FA34" s="508"/>
      <c r="FB34" s="508"/>
      <c r="FC34" s="508"/>
      <c r="FD34" s="508"/>
      <c r="FE34" s="508"/>
      <c r="FF34" s="508"/>
      <c r="FG34" s="508"/>
      <c r="FH34" s="508"/>
      <c r="FI34" s="508"/>
      <c r="FJ34" s="508"/>
      <c r="FK34" s="508"/>
      <c r="FL34" s="508"/>
      <c r="FM34" s="508"/>
      <c r="FN34" s="508"/>
      <c r="FO34" s="508"/>
      <c r="FP34" s="508"/>
      <c r="FQ34" s="508"/>
      <c r="FR34" s="508"/>
      <c r="FS34" s="508"/>
      <c r="FT34" s="508"/>
      <c r="FU34" s="508"/>
      <c r="FV34" s="508"/>
      <c r="FW34" s="508"/>
      <c r="FX34" s="508"/>
      <c r="FY34" s="508"/>
      <c r="FZ34" s="508"/>
      <c r="GA34" s="508"/>
      <c r="GB34" s="508"/>
      <c r="GC34" s="508"/>
      <c r="GD34" s="508"/>
      <c r="GE34" s="508"/>
      <c r="GF34" s="508"/>
      <c r="GG34" s="508"/>
      <c r="GH34" s="508"/>
      <c r="GI34" s="508"/>
      <c r="GJ34" s="508"/>
      <c r="GK34" s="508"/>
      <c r="GL34" s="508"/>
      <c r="GM34" s="508"/>
      <c r="GN34" s="508"/>
      <c r="GO34" s="508"/>
      <c r="GP34" s="508"/>
      <c r="GQ34" s="508"/>
      <c r="GR34" s="508"/>
      <c r="GS34" s="508"/>
      <c r="GT34" s="508"/>
      <c r="GU34" s="508"/>
      <c r="GV34" s="508"/>
      <c r="GW34" s="508"/>
      <c r="GX34" s="508"/>
      <c r="GY34" s="508"/>
      <c r="GZ34" s="508"/>
      <c r="HA34" s="508"/>
      <c r="HB34" s="508"/>
      <c r="HC34" s="508"/>
      <c r="HD34" s="508"/>
      <c r="HE34" s="508"/>
      <c r="HF34" s="508"/>
      <c r="HG34" s="508"/>
      <c r="HH34" s="508"/>
      <c r="HI34" s="508"/>
      <c r="HJ34" s="508"/>
      <c r="HK34" s="508"/>
      <c r="HL34" s="508"/>
      <c r="HM34" s="508"/>
      <c r="HN34" s="508"/>
      <c r="HO34" s="508"/>
      <c r="HP34" s="508"/>
      <c r="HQ34" s="508"/>
      <c r="HR34" s="508"/>
      <c r="HS34" s="508"/>
      <c r="HT34" s="508"/>
      <c r="HU34" s="508"/>
      <c r="HV34" s="508"/>
      <c r="HW34" s="508"/>
      <c r="HX34" s="508"/>
      <c r="HY34" s="508"/>
      <c r="HZ34" s="508"/>
      <c r="IA34" s="508"/>
      <c r="IB34" s="508"/>
      <c r="IC34" s="508"/>
      <c r="ID34" s="508"/>
      <c r="IE34" s="508"/>
      <c r="IF34" s="508"/>
      <c r="IG34" s="508"/>
      <c r="IH34" s="508"/>
      <c r="II34" s="508"/>
      <c r="IJ34" s="508"/>
      <c r="IK34" s="508"/>
      <c r="IL34" s="508"/>
      <c r="IM34" s="508"/>
      <c r="IN34" s="508"/>
      <c r="IO34" s="508"/>
      <c r="IP34" s="508"/>
      <c r="IQ34" s="508"/>
      <c r="IR34" s="508"/>
      <c r="IS34" s="508"/>
      <c r="IT34" s="508"/>
      <c r="IU34" s="508"/>
    </row>
    <row r="35" spans="1:255" x14ac:dyDescent="0.2">
      <c r="A35" s="502">
        <v>62343</v>
      </c>
      <c r="B35" s="507"/>
      <c r="C35" s="1257" t="s">
        <v>2167</v>
      </c>
      <c r="D35" s="1247">
        <f>'[15]Input Sheet'!G1083</f>
        <v>0</v>
      </c>
      <c r="E35" s="1247"/>
      <c r="F35" s="1258">
        <v>0</v>
      </c>
      <c r="G35" s="1259"/>
      <c r="H35" s="508"/>
      <c r="I35" s="508"/>
      <c r="J35" s="508"/>
      <c r="K35" s="508"/>
      <c r="L35" s="508"/>
      <c r="M35" s="508"/>
      <c r="N35" s="508"/>
      <c r="O35" s="508"/>
      <c r="P35" s="508"/>
      <c r="Q35" s="1190"/>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8"/>
      <c r="AQ35" s="508"/>
      <c r="AR35" s="508"/>
      <c r="AS35" s="508"/>
      <c r="AT35" s="508"/>
      <c r="AU35" s="508"/>
      <c r="AV35" s="508"/>
      <c r="AW35" s="508"/>
      <c r="AX35" s="508"/>
      <c r="AY35" s="508"/>
      <c r="AZ35" s="508"/>
      <c r="BA35" s="508"/>
      <c r="BB35" s="508"/>
      <c r="BC35" s="508"/>
      <c r="BD35" s="508"/>
      <c r="BE35" s="508"/>
      <c r="BF35" s="508"/>
      <c r="BG35" s="508"/>
      <c r="BH35" s="508"/>
      <c r="BI35" s="508"/>
      <c r="BJ35" s="508"/>
      <c r="BK35" s="508"/>
      <c r="BL35" s="508"/>
      <c r="BM35" s="508"/>
      <c r="BN35" s="508"/>
      <c r="BO35" s="508"/>
      <c r="BP35" s="508"/>
      <c r="BQ35" s="508"/>
      <c r="BR35" s="508"/>
      <c r="BS35" s="508"/>
      <c r="BT35" s="508"/>
      <c r="BU35" s="508"/>
      <c r="BV35" s="508"/>
      <c r="BW35" s="508"/>
      <c r="BX35" s="508"/>
      <c r="BY35" s="508"/>
      <c r="BZ35" s="508"/>
      <c r="CA35" s="508"/>
      <c r="CB35" s="508"/>
      <c r="CC35" s="508"/>
      <c r="CD35" s="508"/>
      <c r="CE35" s="508"/>
      <c r="CF35" s="508"/>
      <c r="CG35" s="508"/>
      <c r="CH35" s="508"/>
      <c r="CI35" s="508"/>
      <c r="CJ35" s="508"/>
      <c r="CK35" s="508"/>
      <c r="CL35" s="508"/>
      <c r="CM35" s="508"/>
      <c r="CN35" s="508"/>
      <c r="CO35" s="508"/>
      <c r="CP35" s="508"/>
      <c r="CQ35" s="508"/>
      <c r="CR35" s="508"/>
      <c r="CS35" s="508"/>
      <c r="CT35" s="508"/>
      <c r="CU35" s="508"/>
      <c r="CV35" s="508"/>
      <c r="CW35" s="508"/>
      <c r="CX35" s="508"/>
      <c r="CY35" s="508"/>
      <c r="CZ35" s="508"/>
      <c r="DA35" s="508"/>
      <c r="DB35" s="508"/>
      <c r="DC35" s="508"/>
      <c r="DD35" s="508"/>
      <c r="DE35" s="508"/>
      <c r="DF35" s="508"/>
      <c r="DG35" s="508"/>
      <c r="DH35" s="508"/>
      <c r="DI35" s="508"/>
      <c r="DJ35" s="508"/>
      <c r="DK35" s="508"/>
      <c r="DL35" s="508"/>
      <c r="DM35" s="508"/>
      <c r="DN35" s="508"/>
      <c r="DO35" s="508"/>
      <c r="DP35" s="508"/>
      <c r="DQ35" s="508"/>
      <c r="DR35" s="508"/>
      <c r="DS35" s="508"/>
      <c r="DT35" s="508"/>
      <c r="DU35" s="508"/>
      <c r="DV35" s="508"/>
      <c r="DW35" s="508"/>
      <c r="DX35" s="508"/>
      <c r="DY35" s="508"/>
      <c r="DZ35" s="508"/>
      <c r="EA35" s="508"/>
      <c r="EB35" s="508"/>
      <c r="EC35" s="508"/>
      <c r="ED35" s="508"/>
      <c r="EE35" s="508"/>
      <c r="EF35" s="508"/>
      <c r="EG35" s="508"/>
      <c r="EH35" s="508"/>
      <c r="EI35" s="508"/>
      <c r="EJ35" s="508"/>
      <c r="EK35" s="508"/>
      <c r="EL35" s="508"/>
      <c r="EM35" s="508"/>
      <c r="EN35" s="508"/>
      <c r="EO35" s="508"/>
      <c r="EP35" s="508"/>
      <c r="EQ35" s="508"/>
      <c r="ER35" s="508"/>
      <c r="ES35" s="508"/>
      <c r="ET35" s="508"/>
      <c r="EU35" s="508"/>
      <c r="EV35" s="508"/>
      <c r="EW35" s="508"/>
      <c r="EX35" s="508"/>
      <c r="EY35" s="508"/>
      <c r="EZ35" s="508"/>
      <c r="FA35" s="508"/>
      <c r="FB35" s="508"/>
      <c r="FC35" s="508"/>
      <c r="FD35" s="508"/>
      <c r="FE35" s="508"/>
      <c r="FF35" s="508"/>
      <c r="FG35" s="508"/>
      <c r="FH35" s="508"/>
      <c r="FI35" s="508"/>
      <c r="FJ35" s="508"/>
      <c r="FK35" s="508"/>
      <c r="FL35" s="508"/>
      <c r="FM35" s="508"/>
      <c r="FN35" s="508"/>
      <c r="FO35" s="508"/>
      <c r="FP35" s="508"/>
      <c r="FQ35" s="508"/>
      <c r="FR35" s="508"/>
      <c r="FS35" s="508"/>
      <c r="FT35" s="508"/>
      <c r="FU35" s="508"/>
      <c r="FV35" s="508"/>
      <c r="FW35" s="508"/>
      <c r="FX35" s="508"/>
      <c r="FY35" s="508"/>
      <c r="FZ35" s="508"/>
      <c r="GA35" s="508"/>
      <c r="GB35" s="508"/>
      <c r="GC35" s="508"/>
      <c r="GD35" s="508"/>
      <c r="GE35" s="508"/>
      <c r="GF35" s="508"/>
      <c r="GG35" s="508"/>
      <c r="GH35" s="508"/>
      <c r="GI35" s="508"/>
      <c r="GJ35" s="508"/>
      <c r="GK35" s="508"/>
      <c r="GL35" s="508"/>
      <c r="GM35" s="508"/>
      <c r="GN35" s="508"/>
      <c r="GO35" s="508"/>
      <c r="GP35" s="508"/>
      <c r="GQ35" s="508"/>
      <c r="GR35" s="508"/>
      <c r="GS35" s="508"/>
      <c r="GT35" s="508"/>
      <c r="GU35" s="508"/>
      <c r="GV35" s="508"/>
      <c r="GW35" s="508"/>
      <c r="GX35" s="508"/>
      <c r="GY35" s="508"/>
      <c r="GZ35" s="508"/>
      <c r="HA35" s="508"/>
      <c r="HB35" s="508"/>
      <c r="HC35" s="508"/>
      <c r="HD35" s="508"/>
      <c r="HE35" s="508"/>
      <c r="HF35" s="508"/>
      <c r="HG35" s="508"/>
      <c r="HH35" s="508"/>
      <c r="HI35" s="508"/>
      <c r="HJ35" s="508"/>
      <c r="HK35" s="508"/>
      <c r="HL35" s="508"/>
      <c r="HM35" s="508"/>
      <c r="HN35" s="508"/>
      <c r="HO35" s="508"/>
      <c r="HP35" s="508"/>
      <c r="HQ35" s="508"/>
      <c r="HR35" s="508"/>
      <c r="HS35" s="508"/>
      <c r="HT35" s="508"/>
      <c r="HU35" s="508"/>
      <c r="HV35" s="508"/>
      <c r="HW35" s="508"/>
      <c r="HX35" s="508"/>
      <c r="HY35" s="508"/>
      <c r="HZ35" s="508"/>
      <c r="IA35" s="508"/>
      <c r="IB35" s="508"/>
      <c r="IC35" s="508"/>
      <c r="ID35" s="508"/>
      <c r="IE35" s="508"/>
      <c r="IF35" s="508"/>
      <c r="IG35" s="508"/>
      <c r="IH35" s="508"/>
      <c r="II35" s="508"/>
      <c r="IJ35" s="508"/>
      <c r="IK35" s="508"/>
      <c r="IL35" s="508"/>
      <c r="IM35" s="508"/>
      <c r="IN35" s="508"/>
      <c r="IO35" s="508"/>
      <c r="IP35" s="508"/>
      <c r="IQ35" s="508"/>
      <c r="IR35" s="508"/>
      <c r="IS35" s="508"/>
      <c r="IT35" s="508"/>
      <c r="IU35" s="508"/>
    </row>
    <row r="36" spans="1:255" x14ac:dyDescent="0.2">
      <c r="A36" s="502">
        <v>62344</v>
      </c>
      <c r="B36" s="507"/>
      <c r="C36" s="1257" t="s">
        <v>2168</v>
      </c>
      <c r="D36" s="1247">
        <f>'[15]Input Sheet'!G1084</f>
        <v>0</v>
      </c>
      <c r="E36" s="1247"/>
      <c r="F36" s="1258">
        <v>0</v>
      </c>
      <c r="G36" s="1259"/>
      <c r="H36" s="508"/>
      <c r="I36" s="508"/>
      <c r="J36" s="508"/>
      <c r="K36" s="508"/>
      <c r="L36" s="508"/>
      <c r="M36" s="508"/>
      <c r="N36" s="508"/>
      <c r="O36" s="508"/>
      <c r="P36" s="508"/>
      <c r="Q36" s="1190"/>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8"/>
      <c r="AQ36" s="508"/>
      <c r="AR36" s="508"/>
      <c r="AS36" s="508"/>
      <c r="AT36" s="508"/>
      <c r="AU36" s="508"/>
      <c r="AV36" s="508"/>
      <c r="AW36" s="508"/>
      <c r="AX36" s="508"/>
      <c r="AY36" s="508"/>
      <c r="AZ36" s="508"/>
      <c r="BA36" s="508"/>
      <c r="BB36" s="508"/>
      <c r="BC36" s="508"/>
      <c r="BD36" s="508"/>
      <c r="BE36" s="508"/>
      <c r="BF36" s="508"/>
      <c r="BG36" s="508"/>
      <c r="BH36" s="508"/>
      <c r="BI36" s="508"/>
      <c r="BJ36" s="508"/>
      <c r="BK36" s="508"/>
      <c r="BL36" s="508"/>
      <c r="BM36" s="508"/>
      <c r="BN36" s="508"/>
      <c r="BO36" s="508"/>
      <c r="BP36" s="508"/>
      <c r="BQ36" s="508"/>
      <c r="BR36" s="508"/>
      <c r="BS36" s="508"/>
      <c r="BT36" s="508"/>
      <c r="BU36" s="508"/>
      <c r="BV36" s="508"/>
      <c r="BW36" s="508"/>
      <c r="BX36" s="508"/>
      <c r="BY36" s="508"/>
      <c r="BZ36" s="508"/>
      <c r="CA36" s="508"/>
      <c r="CB36" s="508"/>
      <c r="CC36" s="508"/>
      <c r="CD36" s="508"/>
      <c r="CE36" s="508"/>
      <c r="CF36" s="508"/>
      <c r="CG36" s="508"/>
      <c r="CH36" s="508"/>
      <c r="CI36" s="508"/>
      <c r="CJ36" s="508"/>
      <c r="CK36" s="508"/>
      <c r="CL36" s="508"/>
      <c r="CM36" s="508"/>
      <c r="CN36" s="508"/>
      <c r="CO36" s="508"/>
      <c r="CP36" s="508"/>
      <c r="CQ36" s="508"/>
      <c r="CR36" s="508"/>
      <c r="CS36" s="508"/>
      <c r="CT36" s="508"/>
      <c r="CU36" s="508"/>
      <c r="CV36" s="508"/>
      <c r="CW36" s="508"/>
      <c r="CX36" s="508"/>
      <c r="CY36" s="508"/>
      <c r="CZ36" s="508"/>
      <c r="DA36" s="508"/>
      <c r="DB36" s="508"/>
      <c r="DC36" s="508"/>
      <c r="DD36" s="508"/>
      <c r="DE36" s="508"/>
      <c r="DF36" s="508"/>
      <c r="DG36" s="508"/>
      <c r="DH36" s="508"/>
      <c r="DI36" s="508"/>
      <c r="DJ36" s="508"/>
      <c r="DK36" s="508"/>
      <c r="DL36" s="508"/>
      <c r="DM36" s="508"/>
      <c r="DN36" s="508"/>
      <c r="DO36" s="508"/>
      <c r="DP36" s="508"/>
      <c r="DQ36" s="508"/>
      <c r="DR36" s="508"/>
      <c r="DS36" s="508"/>
      <c r="DT36" s="508"/>
      <c r="DU36" s="508"/>
      <c r="DV36" s="508"/>
      <c r="DW36" s="508"/>
      <c r="DX36" s="508"/>
      <c r="DY36" s="508"/>
      <c r="DZ36" s="508"/>
      <c r="EA36" s="508"/>
      <c r="EB36" s="508"/>
      <c r="EC36" s="508"/>
      <c r="ED36" s="508"/>
      <c r="EE36" s="508"/>
      <c r="EF36" s="508"/>
      <c r="EG36" s="508"/>
      <c r="EH36" s="508"/>
      <c r="EI36" s="508"/>
      <c r="EJ36" s="508"/>
      <c r="EK36" s="508"/>
      <c r="EL36" s="508"/>
      <c r="EM36" s="508"/>
      <c r="EN36" s="508"/>
      <c r="EO36" s="508"/>
      <c r="EP36" s="508"/>
      <c r="EQ36" s="508"/>
      <c r="ER36" s="508"/>
      <c r="ES36" s="508"/>
      <c r="ET36" s="508"/>
      <c r="EU36" s="508"/>
      <c r="EV36" s="508"/>
      <c r="EW36" s="508"/>
      <c r="EX36" s="508"/>
      <c r="EY36" s="508"/>
      <c r="EZ36" s="508"/>
      <c r="FA36" s="508"/>
      <c r="FB36" s="508"/>
      <c r="FC36" s="508"/>
      <c r="FD36" s="508"/>
      <c r="FE36" s="508"/>
      <c r="FF36" s="508"/>
      <c r="FG36" s="508"/>
      <c r="FH36" s="508"/>
      <c r="FI36" s="508"/>
      <c r="FJ36" s="508"/>
      <c r="FK36" s="508"/>
      <c r="FL36" s="508"/>
      <c r="FM36" s="508"/>
      <c r="FN36" s="508"/>
      <c r="FO36" s="508"/>
      <c r="FP36" s="508"/>
      <c r="FQ36" s="508"/>
      <c r="FR36" s="508"/>
      <c r="FS36" s="508"/>
      <c r="FT36" s="508"/>
      <c r="FU36" s="508"/>
      <c r="FV36" s="508"/>
      <c r="FW36" s="508"/>
      <c r="FX36" s="508"/>
      <c r="FY36" s="508"/>
      <c r="FZ36" s="508"/>
      <c r="GA36" s="508"/>
      <c r="GB36" s="508"/>
      <c r="GC36" s="508"/>
      <c r="GD36" s="508"/>
      <c r="GE36" s="508"/>
      <c r="GF36" s="508"/>
      <c r="GG36" s="508"/>
      <c r="GH36" s="508"/>
      <c r="GI36" s="508"/>
      <c r="GJ36" s="508"/>
      <c r="GK36" s="508"/>
      <c r="GL36" s="508"/>
      <c r="GM36" s="508"/>
      <c r="GN36" s="508"/>
      <c r="GO36" s="508"/>
      <c r="GP36" s="508"/>
      <c r="GQ36" s="508"/>
      <c r="GR36" s="508"/>
      <c r="GS36" s="508"/>
      <c r="GT36" s="508"/>
      <c r="GU36" s="508"/>
      <c r="GV36" s="508"/>
      <c r="GW36" s="508"/>
      <c r="GX36" s="508"/>
      <c r="GY36" s="508"/>
      <c r="GZ36" s="508"/>
      <c r="HA36" s="508"/>
      <c r="HB36" s="508"/>
      <c r="HC36" s="508"/>
      <c r="HD36" s="508"/>
      <c r="HE36" s="508"/>
      <c r="HF36" s="508"/>
      <c r="HG36" s="508"/>
      <c r="HH36" s="508"/>
      <c r="HI36" s="508"/>
      <c r="HJ36" s="508"/>
      <c r="HK36" s="508"/>
      <c r="HL36" s="508"/>
      <c r="HM36" s="508"/>
      <c r="HN36" s="508"/>
      <c r="HO36" s="508"/>
      <c r="HP36" s="508"/>
      <c r="HQ36" s="508"/>
      <c r="HR36" s="508"/>
      <c r="HS36" s="508"/>
      <c r="HT36" s="508"/>
      <c r="HU36" s="508"/>
      <c r="HV36" s="508"/>
      <c r="HW36" s="508"/>
      <c r="HX36" s="508"/>
      <c r="HY36" s="508"/>
      <c r="HZ36" s="508"/>
      <c r="IA36" s="508"/>
      <c r="IB36" s="508"/>
      <c r="IC36" s="508"/>
      <c r="ID36" s="508"/>
      <c r="IE36" s="508"/>
      <c r="IF36" s="508"/>
      <c r="IG36" s="508"/>
      <c r="IH36" s="508"/>
      <c r="II36" s="508"/>
      <c r="IJ36" s="508"/>
      <c r="IK36" s="508"/>
      <c r="IL36" s="508"/>
      <c r="IM36" s="508"/>
      <c r="IN36" s="508"/>
      <c r="IO36" s="508"/>
      <c r="IP36" s="508"/>
      <c r="IQ36" s="508"/>
      <c r="IR36" s="508"/>
      <c r="IS36" s="508"/>
      <c r="IT36" s="508"/>
      <c r="IU36" s="508"/>
    </row>
    <row r="37" spans="1:255" ht="15" x14ac:dyDescent="0.25">
      <c r="A37" s="504"/>
      <c r="B37" s="505"/>
      <c r="C37" s="1249" t="s">
        <v>560</v>
      </c>
      <c r="D37" s="1247"/>
      <c r="E37" s="1247"/>
      <c r="F37" s="1246"/>
      <c r="G37" s="1247"/>
    </row>
    <row r="38" spans="1:255" ht="15" x14ac:dyDescent="0.25">
      <c r="A38" s="504"/>
      <c r="B38" s="505"/>
      <c r="C38" s="1248" t="s">
        <v>92</v>
      </c>
      <c r="D38" s="1247"/>
      <c r="E38" s="1245">
        <f>SUM(E27:E37)</f>
        <v>4185.0676845059998</v>
      </c>
      <c r="F38" s="1246"/>
      <c r="G38" s="1245">
        <f>SUM(G27:G37)</f>
        <v>1341.122994502</v>
      </c>
    </row>
    <row r="39" spans="1:255" ht="15" x14ac:dyDescent="0.25">
      <c r="A39" s="504"/>
      <c r="B39" s="505"/>
      <c r="C39" s="1260"/>
      <c r="D39" s="1247"/>
      <c r="E39" s="1247"/>
      <c r="F39" s="1246"/>
      <c r="G39" s="1247"/>
    </row>
    <row r="40" spans="1:255" ht="15" x14ac:dyDescent="0.25">
      <c r="A40" s="504"/>
      <c r="B40" s="505">
        <v>24</v>
      </c>
      <c r="C40" s="1248" t="s">
        <v>946</v>
      </c>
      <c r="D40" s="1247"/>
      <c r="E40" s="1247"/>
      <c r="F40" s="1246"/>
      <c r="G40" s="1247"/>
    </row>
    <row r="41" spans="1:255" ht="30" x14ac:dyDescent="0.25">
      <c r="A41" s="504"/>
      <c r="B41" s="505"/>
      <c r="C41" s="1261" t="s">
        <v>947</v>
      </c>
      <c r="D41" s="1247"/>
      <c r="E41" s="1247"/>
      <c r="F41" s="1246"/>
      <c r="G41" s="1247"/>
    </row>
    <row r="42" spans="1:255" ht="15" x14ac:dyDescent="0.25">
      <c r="A42" s="504"/>
      <c r="B42" s="505"/>
      <c r="C42" s="1262" t="s">
        <v>2169</v>
      </c>
      <c r="D42" s="1247"/>
      <c r="E42" s="1247">
        <f>SUM(D43:D49)</f>
        <v>0.22902478000000004</v>
      </c>
      <c r="F42" s="1246"/>
      <c r="G42" s="1247">
        <f>SUM(F43:F49)</f>
        <v>0.16887729600000001</v>
      </c>
    </row>
    <row r="43" spans="1:255" ht="15" x14ac:dyDescent="0.25">
      <c r="A43" s="502">
        <v>62210</v>
      </c>
      <c r="B43" s="505"/>
      <c r="C43" s="1257" t="s">
        <v>2170</v>
      </c>
      <c r="D43" s="1247">
        <f>'[15]Input Sheet'!G1069</f>
        <v>0.13278218</v>
      </c>
      <c r="E43" s="1247"/>
      <c r="F43" s="1246">
        <v>0.159423496</v>
      </c>
      <c r="G43" s="1247"/>
    </row>
    <row r="44" spans="1:255" ht="15" x14ac:dyDescent="0.25">
      <c r="A44" s="502">
        <v>62220</v>
      </c>
      <c r="B44" s="505"/>
      <c r="C44" s="1257" t="s">
        <v>2171</v>
      </c>
      <c r="D44" s="1247">
        <f>'[15]Input Sheet'!G1070</f>
        <v>7.5832E-3</v>
      </c>
      <c r="E44" s="1247"/>
      <c r="F44" s="1246">
        <v>7.5080000000000004E-4</v>
      </c>
      <c r="G44" s="1247"/>
    </row>
    <row r="45" spans="1:255" ht="15" x14ac:dyDescent="0.25">
      <c r="A45" s="502">
        <v>62230</v>
      </c>
      <c r="B45" s="505"/>
      <c r="C45" s="1257" t="s">
        <v>2172</v>
      </c>
      <c r="D45" s="1247">
        <f>'[15]Input Sheet'!G1071</f>
        <v>8.7501999999999996E-3</v>
      </c>
      <c r="E45" s="1247"/>
      <c r="F45" s="1246">
        <v>2.1699999999999999E-5</v>
      </c>
      <c r="G45" s="1247"/>
    </row>
    <row r="46" spans="1:255" ht="15" x14ac:dyDescent="0.25">
      <c r="A46" s="502">
        <v>62260</v>
      </c>
      <c r="B46" s="505"/>
      <c r="C46" s="1257" t="s">
        <v>2173</v>
      </c>
      <c r="D46" s="1247">
        <f>'[15]Input Sheet'!G1073</f>
        <v>7.99092E-2</v>
      </c>
      <c r="E46" s="1247"/>
      <c r="F46" s="1246">
        <v>8.6812999999999994E-3</v>
      </c>
      <c r="G46" s="1247"/>
    </row>
    <row r="47" spans="1:255" ht="15" x14ac:dyDescent="0.25">
      <c r="A47" s="502">
        <v>62261</v>
      </c>
      <c r="B47" s="505"/>
      <c r="C47" s="509" t="s">
        <v>2174</v>
      </c>
      <c r="D47" s="1247">
        <f>'[15]Input Sheet'!G1074</f>
        <v>0</v>
      </c>
      <c r="E47" s="1247"/>
      <c r="F47" s="1246">
        <v>0</v>
      </c>
      <c r="G47" s="1247"/>
    </row>
    <row r="48" spans="1:255" ht="15" x14ac:dyDescent="0.25">
      <c r="A48" s="502">
        <v>62262</v>
      </c>
      <c r="B48" s="505"/>
      <c r="C48" s="509" t="s">
        <v>2175</v>
      </c>
      <c r="D48" s="1247">
        <f>'[15]Input Sheet'!G1075</f>
        <v>0</v>
      </c>
      <c r="E48" s="1247"/>
      <c r="F48" s="1246">
        <v>0</v>
      </c>
      <c r="G48" s="1247"/>
    </row>
    <row r="49" spans="1:255" ht="15" x14ac:dyDescent="0.25">
      <c r="A49" s="502">
        <v>62263</v>
      </c>
      <c r="B49" s="505"/>
      <c r="C49" s="509" t="s">
        <v>2175</v>
      </c>
      <c r="D49" s="1247">
        <f>'[15]Input Sheet'!G1076</f>
        <v>0</v>
      </c>
      <c r="E49" s="1247"/>
      <c r="F49" s="1246">
        <v>0</v>
      </c>
      <c r="G49" s="1247"/>
    </row>
    <row r="50" spans="1:255" ht="15" x14ac:dyDescent="0.25">
      <c r="A50" s="504"/>
      <c r="B50" s="505"/>
      <c r="C50" s="1260" t="s">
        <v>867</v>
      </c>
      <c r="D50" s="1247"/>
      <c r="E50" s="1247"/>
      <c r="F50" s="1246"/>
      <c r="G50" s="1247"/>
    </row>
    <row r="51" spans="1:255" ht="15" x14ac:dyDescent="0.25">
      <c r="A51" s="504"/>
      <c r="B51" s="505"/>
      <c r="C51" s="1260" t="s">
        <v>867</v>
      </c>
      <c r="D51" s="1247"/>
      <c r="E51" s="1247"/>
      <c r="F51" s="1246"/>
      <c r="G51" s="1247"/>
    </row>
    <row r="52" spans="1:255" ht="15" x14ac:dyDescent="0.25">
      <c r="A52" s="504"/>
      <c r="B52" s="505"/>
      <c r="C52" s="1244" t="s">
        <v>565</v>
      </c>
      <c r="D52" s="1247"/>
      <c r="E52" s="1247">
        <f>SUM(D53:D56)</f>
        <v>4.4345818419999992</v>
      </c>
      <c r="F52" s="1246"/>
      <c r="G52" s="1247">
        <f>SUM(F53:F56)</f>
        <v>4.8582276289999999</v>
      </c>
    </row>
    <row r="53" spans="1:255" ht="15" x14ac:dyDescent="0.25">
      <c r="A53" s="502">
        <v>62902</v>
      </c>
      <c r="B53" s="505"/>
      <c r="C53" s="1249" t="s">
        <v>2176</v>
      </c>
      <c r="D53" s="1247">
        <f>'[15]Input Sheet'!G1087</f>
        <v>1.7378288909999999</v>
      </c>
      <c r="E53" s="1247"/>
      <c r="F53" s="1246">
        <v>1.9704256710000001</v>
      </c>
      <c r="G53" s="1247"/>
    </row>
    <row r="54" spans="1:255" ht="15" x14ac:dyDescent="0.25">
      <c r="A54" s="502">
        <v>62903</v>
      </c>
      <c r="B54" s="505"/>
      <c r="C54" s="1249" t="s">
        <v>2177</v>
      </c>
      <c r="D54" s="1247">
        <f>'[15]Input Sheet'!G1088</f>
        <v>0.145265058</v>
      </c>
      <c r="E54" s="1247"/>
      <c r="F54" s="1246">
        <v>0.11120949199999999</v>
      </c>
      <c r="G54" s="1247"/>
    </row>
    <row r="55" spans="1:255" ht="15" x14ac:dyDescent="0.25">
      <c r="A55" s="502">
        <v>62904</v>
      </c>
      <c r="B55" s="505"/>
      <c r="C55" s="1249" t="s">
        <v>2178</v>
      </c>
      <c r="D55" s="1247">
        <f>'[15]Input Sheet'!G1089</f>
        <v>2.5097984979999999</v>
      </c>
      <c r="E55" s="1247"/>
      <c r="F55" s="1246">
        <v>2.7157895920000001</v>
      </c>
      <c r="G55" s="1247"/>
    </row>
    <row r="56" spans="1:255" ht="15" x14ac:dyDescent="0.25">
      <c r="A56" s="502">
        <v>62926</v>
      </c>
      <c r="B56" s="505"/>
      <c r="C56" s="1249" t="s">
        <v>2179</v>
      </c>
      <c r="D56" s="1247">
        <f>'[15]Input Sheet'!G1093</f>
        <v>4.1689395000000004E-2</v>
      </c>
      <c r="E56" s="1247"/>
      <c r="F56" s="1246">
        <v>6.0802874E-2</v>
      </c>
      <c r="G56" s="1247"/>
    </row>
    <row r="57" spans="1:255" ht="15" x14ac:dyDescent="0.25">
      <c r="A57" s="504"/>
      <c r="B57" s="505"/>
      <c r="C57" s="1249"/>
      <c r="D57" s="1247"/>
      <c r="E57" s="1247"/>
      <c r="F57" s="1246"/>
      <c r="G57" s="1247"/>
    </row>
    <row r="58" spans="1:255" ht="15" x14ac:dyDescent="0.25">
      <c r="A58" s="504"/>
      <c r="B58" s="505"/>
      <c r="C58" s="1256" t="s">
        <v>566</v>
      </c>
      <c r="D58" s="1247"/>
      <c r="E58" s="1247"/>
      <c r="F58" s="1246"/>
      <c r="G58" s="1247"/>
    </row>
    <row r="59" spans="1:255" ht="15" x14ac:dyDescent="0.25">
      <c r="A59" s="504"/>
      <c r="B59" s="505"/>
      <c r="C59" s="1249"/>
      <c r="D59" s="1247"/>
      <c r="E59" s="1247"/>
      <c r="F59" s="1246"/>
      <c r="G59" s="1247"/>
    </row>
    <row r="60" spans="1:255" ht="15" x14ac:dyDescent="0.25">
      <c r="A60" s="506">
        <v>62310</v>
      </c>
      <c r="B60" s="505"/>
      <c r="C60" s="1263" t="s">
        <v>2180</v>
      </c>
      <c r="D60" s="1247">
        <f>'[15]Input Sheet'!G1078</f>
        <v>0</v>
      </c>
      <c r="E60" s="1247"/>
      <c r="F60" s="1246">
        <v>-0.364485</v>
      </c>
      <c r="G60" s="1247"/>
    </row>
    <row r="61" spans="1:255" x14ac:dyDescent="0.2">
      <c r="A61" s="502">
        <v>62340</v>
      </c>
      <c r="B61" s="507"/>
      <c r="C61" s="1264" t="s">
        <v>2181</v>
      </c>
      <c r="D61" s="1247">
        <f>'[15]Input Sheet'!G1080</f>
        <v>31.438449506999998</v>
      </c>
      <c r="E61" s="1247">
        <f>SUM(D60:D61)</f>
        <v>31.438449506999998</v>
      </c>
      <c r="F61" s="1246">
        <v>74.137089280999987</v>
      </c>
      <c r="G61" s="1247">
        <f>SUM(F60:F61)</f>
        <v>73.772604280999985</v>
      </c>
      <c r="H61" s="508"/>
      <c r="I61" s="508"/>
      <c r="J61" s="508"/>
      <c r="K61" s="508"/>
      <c r="L61" s="508"/>
      <c r="M61" s="508"/>
      <c r="N61" s="508"/>
      <c r="O61" s="508"/>
      <c r="P61" s="508"/>
      <c r="Q61" s="1190"/>
      <c r="R61" s="508"/>
      <c r="S61" s="508"/>
      <c r="T61" s="508"/>
      <c r="U61" s="508"/>
      <c r="V61" s="508"/>
      <c r="W61" s="508"/>
      <c r="X61" s="508"/>
      <c r="Y61" s="508"/>
      <c r="Z61" s="508"/>
      <c r="AA61" s="508"/>
      <c r="AB61" s="508"/>
      <c r="AC61" s="508"/>
      <c r="AD61" s="508"/>
      <c r="AE61" s="508"/>
      <c r="AF61" s="508"/>
      <c r="AG61" s="508"/>
      <c r="AH61" s="508"/>
      <c r="AI61" s="508"/>
      <c r="AJ61" s="508"/>
      <c r="AK61" s="508"/>
      <c r="AL61" s="508"/>
      <c r="AM61" s="508"/>
      <c r="AN61" s="508"/>
      <c r="AO61" s="508"/>
      <c r="AP61" s="508"/>
      <c r="AQ61" s="508"/>
      <c r="AR61" s="508"/>
      <c r="AS61" s="508"/>
      <c r="AT61" s="508"/>
      <c r="AU61" s="508"/>
      <c r="AV61" s="508"/>
      <c r="AW61" s="508"/>
      <c r="AX61" s="508"/>
      <c r="AY61" s="508"/>
      <c r="AZ61" s="508"/>
      <c r="BA61" s="508"/>
      <c r="BB61" s="508"/>
      <c r="BC61" s="508"/>
      <c r="BD61" s="508"/>
      <c r="BE61" s="508"/>
      <c r="BF61" s="508"/>
      <c r="BG61" s="508"/>
      <c r="BH61" s="508"/>
      <c r="BI61" s="508"/>
      <c r="BJ61" s="508"/>
      <c r="BK61" s="508"/>
      <c r="BL61" s="508"/>
      <c r="BM61" s="508"/>
      <c r="BN61" s="508"/>
      <c r="BO61" s="508"/>
      <c r="BP61" s="508"/>
      <c r="BQ61" s="508"/>
      <c r="BR61" s="508"/>
      <c r="BS61" s="508"/>
      <c r="BT61" s="508"/>
      <c r="BU61" s="508"/>
      <c r="BV61" s="508"/>
      <c r="BW61" s="508"/>
      <c r="BX61" s="508"/>
      <c r="BY61" s="508"/>
      <c r="BZ61" s="508"/>
      <c r="CA61" s="508"/>
      <c r="CB61" s="508"/>
      <c r="CC61" s="508"/>
      <c r="CD61" s="508"/>
      <c r="CE61" s="508"/>
      <c r="CF61" s="508"/>
      <c r="CG61" s="508"/>
      <c r="CH61" s="508"/>
      <c r="CI61" s="508"/>
      <c r="CJ61" s="508"/>
      <c r="CK61" s="508"/>
      <c r="CL61" s="508"/>
      <c r="CM61" s="508"/>
      <c r="CN61" s="508"/>
      <c r="CO61" s="508"/>
      <c r="CP61" s="508"/>
      <c r="CQ61" s="508"/>
      <c r="CR61" s="508"/>
      <c r="CS61" s="508"/>
      <c r="CT61" s="508"/>
      <c r="CU61" s="508"/>
      <c r="CV61" s="508"/>
      <c r="CW61" s="508"/>
      <c r="CX61" s="508"/>
      <c r="CY61" s="508"/>
      <c r="CZ61" s="508"/>
      <c r="DA61" s="508"/>
      <c r="DB61" s="508"/>
      <c r="DC61" s="508"/>
      <c r="DD61" s="508"/>
      <c r="DE61" s="508"/>
      <c r="DF61" s="508"/>
      <c r="DG61" s="508"/>
      <c r="DH61" s="508"/>
      <c r="DI61" s="508"/>
      <c r="DJ61" s="508"/>
      <c r="DK61" s="508"/>
      <c r="DL61" s="508"/>
      <c r="DM61" s="508"/>
      <c r="DN61" s="508"/>
      <c r="DO61" s="508"/>
      <c r="DP61" s="508"/>
      <c r="DQ61" s="508"/>
      <c r="DR61" s="508"/>
      <c r="DS61" s="508"/>
      <c r="DT61" s="508"/>
      <c r="DU61" s="508"/>
      <c r="DV61" s="508"/>
      <c r="DW61" s="508"/>
      <c r="DX61" s="508"/>
      <c r="DY61" s="508"/>
      <c r="DZ61" s="508"/>
      <c r="EA61" s="508"/>
      <c r="EB61" s="508"/>
      <c r="EC61" s="508"/>
      <c r="ED61" s="508"/>
      <c r="EE61" s="508"/>
      <c r="EF61" s="508"/>
      <c r="EG61" s="508"/>
      <c r="EH61" s="508"/>
      <c r="EI61" s="508"/>
      <c r="EJ61" s="508"/>
      <c r="EK61" s="508"/>
      <c r="EL61" s="508"/>
      <c r="EM61" s="508"/>
      <c r="EN61" s="508"/>
      <c r="EO61" s="508"/>
      <c r="EP61" s="508"/>
      <c r="EQ61" s="508"/>
      <c r="ER61" s="508"/>
      <c r="ES61" s="508"/>
      <c r="ET61" s="508"/>
      <c r="EU61" s="508"/>
      <c r="EV61" s="508"/>
      <c r="EW61" s="508"/>
      <c r="EX61" s="508"/>
      <c r="EY61" s="508"/>
      <c r="EZ61" s="508"/>
      <c r="FA61" s="508"/>
      <c r="FB61" s="508"/>
      <c r="FC61" s="508"/>
      <c r="FD61" s="508"/>
      <c r="FE61" s="508"/>
      <c r="FF61" s="508"/>
      <c r="FG61" s="508"/>
      <c r="FH61" s="508"/>
      <c r="FI61" s="508"/>
      <c r="FJ61" s="508"/>
      <c r="FK61" s="508"/>
      <c r="FL61" s="508"/>
      <c r="FM61" s="508"/>
      <c r="FN61" s="508"/>
      <c r="FO61" s="508"/>
      <c r="FP61" s="508"/>
      <c r="FQ61" s="508"/>
      <c r="FR61" s="508"/>
      <c r="FS61" s="508"/>
      <c r="FT61" s="508"/>
      <c r="FU61" s="508"/>
      <c r="FV61" s="508"/>
      <c r="FW61" s="508"/>
      <c r="FX61" s="508"/>
      <c r="FY61" s="508"/>
      <c r="FZ61" s="508"/>
      <c r="GA61" s="508"/>
      <c r="GB61" s="508"/>
      <c r="GC61" s="508"/>
      <c r="GD61" s="508"/>
      <c r="GE61" s="508"/>
      <c r="GF61" s="508"/>
      <c r="GG61" s="508"/>
      <c r="GH61" s="508"/>
      <c r="GI61" s="508"/>
      <c r="GJ61" s="508"/>
      <c r="GK61" s="508"/>
      <c r="GL61" s="508"/>
      <c r="GM61" s="508"/>
      <c r="GN61" s="508"/>
      <c r="GO61" s="508"/>
      <c r="GP61" s="508"/>
      <c r="GQ61" s="508"/>
      <c r="GR61" s="508"/>
      <c r="GS61" s="508"/>
      <c r="GT61" s="508"/>
      <c r="GU61" s="508"/>
      <c r="GV61" s="508"/>
      <c r="GW61" s="508"/>
      <c r="GX61" s="508"/>
      <c r="GY61" s="508"/>
      <c r="GZ61" s="508"/>
      <c r="HA61" s="508"/>
      <c r="HB61" s="508"/>
      <c r="HC61" s="508"/>
      <c r="HD61" s="508"/>
      <c r="HE61" s="508"/>
      <c r="HF61" s="508"/>
      <c r="HG61" s="508"/>
      <c r="HH61" s="508"/>
      <c r="HI61" s="508"/>
      <c r="HJ61" s="508"/>
      <c r="HK61" s="508"/>
      <c r="HL61" s="508"/>
      <c r="HM61" s="508"/>
      <c r="HN61" s="508"/>
      <c r="HO61" s="508"/>
      <c r="HP61" s="508"/>
      <c r="HQ61" s="508"/>
      <c r="HR61" s="508"/>
      <c r="HS61" s="508"/>
      <c r="HT61" s="508"/>
      <c r="HU61" s="508"/>
      <c r="HV61" s="508"/>
      <c r="HW61" s="508"/>
      <c r="HX61" s="508"/>
      <c r="HY61" s="508"/>
      <c r="HZ61" s="508"/>
      <c r="IA61" s="508"/>
      <c r="IB61" s="508"/>
      <c r="IC61" s="508"/>
      <c r="ID61" s="508"/>
      <c r="IE61" s="508"/>
      <c r="IF61" s="508"/>
      <c r="IG61" s="508"/>
      <c r="IH61" s="508"/>
      <c r="II61" s="508"/>
      <c r="IJ61" s="508"/>
      <c r="IK61" s="508"/>
      <c r="IL61" s="508"/>
      <c r="IM61" s="508"/>
      <c r="IN61" s="508"/>
      <c r="IO61" s="508"/>
      <c r="IP61" s="508"/>
      <c r="IQ61" s="508"/>
      <c r="IR61" s="508"/>
      <c r="IS61" s="508"/>
      <c r="IT61" s="508"/>
      <c r="IU61" s="508"/>
    </row>
    <row r="62" spans="1:255" x14ac:dyDescent="0.2">
      <c r="A62" s="504"/>
      <c r="B62" s="507"/>
      <c r="C62" s="1265"/>
      <c r="D62" s="1247"/>
      <c r="E62" s="1247"/>
      <c r="F62" s="1246"/>
      <c r="G62" s="1247"/>
      <c r="H62" s="508"/>
      <c r="I62" s="508"/>
      <c r="J62" s="508"/>
      <c r="K62" s="508"/>
      <c r="L62" s="508"/>
      <c r="M62" s="508"/>
      <c r="N62" s="508"/>
      <c r="O62" s="508"/>
      <c r="P62" s="508"/>
      <c r="Q62" s="1190"/>
      <c r="R62" s="508"/>
      <c r="S62" s="508"/>
      <c r="T62" s="508"/>
      <c r="U62" s="508"/>
      <c r="V62" s="508"/>
      <c r="W62" s="508"/>
      <c r="X62" s="508"/>
      <c r="Y62" s="508"/>
      <c r="Z62" s="508"/>
      <c r="AA62" s="508"/>
      <c r="AB62" s="508"/>
      <c r="AC62" s="508"/>
      <c r="AD62" s="508"/>
      <c r="AE62" s="508"/>
      <c r="AF62" s="508"/>
      <c r="AG62" s="508"/>
      <c r="AH62" s="508"/>
      <c r="AI62" s="508"/>
      <c r="AJ62" s="508"/>
      <c r="AK62" s="508"/>
      <c r="AL62" s="508"/>
      <c r="AM62" s="508"/>
      <c r="AN62" s="508"/>
      <c r="AO62" s="508"/>
      <c r="AP62" s="508"/>
      <c r="AQ62" s="508"/>
      <c r="AR62" s="508"/>
      <c r="AS62" s="508"/>
      <c r="AT62" s="508"/>
      <c r="AU62" s="508"/>
      <c r="AV62" s="508"/>
      <c r="AW62" s="508"/>
      <c r="AX62" s="508"/>
      <c r="AY62" s="508"/>
      <c r="AZ62" s="508"/>
      <c r="BA62" s="508"/>
      <c r="BB62" s="508"/>
      <c r="BC62" s="508"/>
      <c r="BD62" s="508"/>
      <c r="BE62" s="508"/>
      <c r="BF62" s="508"/>
      <c r="BG62" s="508"/>
      <c r="BH62" s="508"/>
      <c r="BI62" s="508"/>
      <c r="BJ62" s="508"/>
      <c r="BK62" s="508"/>
      <c r="BL62" s="508"/>
      <c r="BM62" s="508"/>
      <c r="BN62" s="508"/>
      <c r="BO62" s="508"/>
      <c r="BP62" s="508"/>
      <c r="BQ62" s="508"/>
      <c r="BR62" s="508"/>
      <c r="BS62" s="508"/>
      <c r="BT62" s="508"/>
      <c r="BU62" s="508"/>
      <c r="BV62" s="508"/>
      <c r="BW62" s="508"/>
      <c r="BX62" s="508"/>
      <c r="BY62" s="508"/>
      <c r="BZ62" s="508"/>
      <c r="CA62" s="508"/>
      <c r="CB62" s="508"/>
      <c r="CC62" s="508"/>
      <c r="CD62" s="508"/>
      <c r="CE62" s="508"/>
      <c r="CF62" s="508"/>
      <c r="CG62" s="508"/>
      <c r="CH62" s="508"/>
      <c r="CI62" s="508"/>
      <c r="CJ62" s="508"/>
      <c r="CK62" s="508"/>
      <c r="CL62" s="508"/>
      <c r="CM62" s="508"/>
      <c r="CN62" s="508"/>
      <c r="CO62" s="508"/>
      <c r="CP62" s="508"/>
      <c r="CQ62" s="508"/>
      <c r="CR62" s="508"/>
      <c r="CS62" s="508"/>
      <c r="CT62" s="508"/>
      <c r="CU62" s="508"/>
      <c r="CV62" s="508"/>
      <c r="CW62" s="508"/>
      <c r="CX62" s="508"/>
      <c r="CY62" s="508"/>
      <c r="CZ62" s="508"/>
      <c r="DA62" s="508"/>
      <c r="DB62" s="508"/>
      <c r="DC62" s="508"/>
      <c r="DD62" s="508"/>
      <c r="DE62" s="508"/>
      <c r="DF62" s="508"/>
      <c r="DG62" s="508"/>
      <c r="DH62" s="508"/>
      <c r="DI62" s="508"/>
      <c r="DJ62" s="508"/>
      <c r="DK62" s="508"/>
      <c r="DL62" s="508"/>
      <c r="DM62" s="508"/>
      <c r="DN62" s="508"/>
      <c r="DO62" s="508"/>
      <c r="DP62" s="508"/>
      <c r="DQ62" s="508"/>
      <c r="DR62" s="508"/>
      <c r="DS62" s="508"/>
      <c r="DT62" s="508"/>
      <c r="DU62" s="508"/>
      <c r="DV62" s="508"/>
      <c r="DW62" s="508"/>
      <c r="DX62" s="508"/>
      <c r="DY62" s="508"/>
      <c r="DZ62" s="508"/>
      <c r="EA62" s="508"/>
      <c r="EB62" s="508"/>
      <c r="EC62" s="508"/>
      <c r="ED62" s="508"/>
      <c r="EE62" s="508"/>
      <c r="EF62" s="508"/>
      <c r="EG62" s="508"/>
      <c r="EH62" s="508"/>
      <c r="EI62" s="508"/>
      <c r="EJ62" s="508"/>
      <c r="EK62" s="508"/>
      <c r="EL62" s="508"/>
      <c r="EM62" s="508"/>
      <c r="EN62" s="508"/>
      <c r="EO62" s="508"/>
      <c r="EP62" s="508"/>
      <c r="EQ62" s="508"/>
      <c r="ER62" s="508"/>
      <c r="ES62" s="508"/>
      <c r="ET62" s="508"/>
      <c r="EU62" s="508"/>
      <c r="EV62" s="508"/>
      <c r="EW62" s="508"/>
      <c r="EX62" s="508"/>
      <c r="EY62" s="508"/>
      <c r="EZ62" s="508"/>
      <c r="FA62" s="508"/>
      <c r="FB62" s="508"/>
      <c r="FC62" s="508"/>
      <c r="FD62" s="508"/>
      <c r="FE62" s="508"/>
      <c r="FF62" s="508"/>
      <c r="FG62" s="508"/>
      <c r="FH62" s="508"/>
      <c r="FI62" s="508"/>
      <c r="FJ62" s="508"/>
      <c r="FK62" s="508"/>
      <c r="FL62" s="508"/>
      <c r="FM62" s="508"/>
      <c r="FN62" s="508"/>
      <c r="FO62" s="508"/>
      <c r="FP62" s="508"/>
      <c r="FQ62" s="508"/>
      <c r="FR62" s="508"/>
      <c r="FS62" s="508"/>
      <c r="FT62" s="508"/>
      <c r="FU62" s="508"/>
      <c r="FV62" s="508"/>
      <c r="FW62" s="508"/>
      <c r="FX62" s="508"/>
      <c r="FY62" s="508"/>
      <c r="FZ62" s="508"/>
      <c r="GA62" s="508"/>
      <c r="GB62" s="508"/>
      <c r="GC62" s="508"/>
      <c r="GD62" s="508"/>
      <c r="GE62" s="508"/>
      <c r="GF62" s="508"/>
      <c r="GG62" s="508"/>
      <c r="GH62" s="508"/>
      <c r="GI62" s="508"/>
      <c r="GJ62" s="508"/>
      <c r="GK62" s="508"/>
      <c r="GL62" s="508"/>
      <c r="GM62" s="508"/>
      <c r="GN62" s="508"/>
      <c r="GO62" s="508"/>
      <c r="GP62" s="508"/>
      <c r="GQ62" s="508"/>
      <c r="GR62" s="508"/>
      <c r="GS62" s="508"/>
      <c r="GT62" s="508"/>
      <c r="GU62" s="508"/>
      <c r="GV62" s="508"/>
      <c r="GW62" s="508"/>
      <c r="GX62" s="508"/>
      <c r="GY62" s="508"/>
      <c r="GZ62" s="508"/>
      <c r="HA62" s="508"/>
      <c r="HB62" s="508"/>
      <c r="HC62" s="508"/>
      <c r="HD62" s="508"/>
      <c r="HE62" s="508"/>
      <c r="HF62" s="508"/>
      <c r="HG62" s="508"/>
      <c r="HH62" s="508"/>
      <c r="HI62" s="508"/>
      <c r="HJ62" s="508"/>
      <c r="HK62" s="508"/>
      <c r="HL62" s="508"/>
      <c r="HM62" s="508"/>
      <c r="HN62" s="508"/>
      <c r="HO62" s="508"/>
      <c r="HP62" s="508"/>
      <c r="HQ62" s="508"/>
      <c r="HR62" s="508"/>
      <c r="HS62" s="508"/>
      <c r="HT62" s="508"/>
      <c r="HU62" s="508"/>
      <c r="HV62" s="508"/>
      <c r="HW62" s="508"/>
      <c r="HX62" s="508"/>
      <c r="HY62" s="508"/>
      <c r="HZ62" s="508"/>
      <c r="IA62" s="508"/>
      <c r="IB62" s="508"/>
      <c r="IC62" s="508"/>
      <c r="ID62" s="508"/>
      <c r="IE62" s="508"/>
      <c r="IF62" s="508"/>
      <c r="IG62" s="508"/>
      <c r="IH62" s="508"/>
      <c r="II62" s="508"/>
      <c r="IJ62" s="508"/>
      <c r="IK62" s="508"/>
      <c r="IL62" s="508"/>
      <c r="IM62" s="508"/>
      <c r="IN62" s="508"/>
      <c r="IO62" s="508"/>
      <c r="IP62" s="508"/>
      <c r="IQ62" s="508"/>
      <c r="IR62" s="508"/>
      <c r="IS62" s="508"/>
      <c r="IT62" s="508"/>
      <c r="IU62" s="508"/>
    </row>
    <row r="63" spans="1:255" ht="15" x14ac:dyDescent="0.25">
      <c r="A63" s="502">
        <v>62912</v>
      </c>
      <c r="B63" s="505"/>
      <c r="C63" s="1256" t="s">
        <v>568</v>
      </c>
      <c r="D63" s="1247"/>
      <c r="E63" s="1247">
        <f>'[15]Input Sheet'!G1090</f>
        <v>86.248659975999999</v>
      </c>
      <c r="F63" s="1246"/>
      <c r="G63" s="1247">
        <v>27.143984060000001</v>
      </c>
    </row>
    <row r="64" spans="1:255" ht="15" x14ac:dyDescent="0.25">
      <c r="A64" s="502">
        <v>62918</v>
      </c>
      <c r="B64" s="505"/>
      <c r="C64" s="1256" t="s">
        <v>567</v>
      </c>
      <c r="D64" s="1247"/>
      <c r="E64" s="1247">
        <f>'[15]Input Sheet'!G1091</f>
        <v>5.0000000000000001E-3</v>
      </c>
      <c r="F64" s="1246"/>
      <c r="G64" s="1247">
        <v>2.5100000000000001E-2</v>
      </c>
    </row>
    <row r="65" spans="1:17" ht="15" x14ac:dyDescent="0.25">
      <c r="A65" s="504"/>
      <c r="B65" s="505"/>
      <c r="C65" s="1256" t="s">
        <v>569</v>
      </c>
      <c r="D65" s="1247"/>
      <c r="E65" s="1247">
        <f>SUM(D66:D78)</f>
        <v>127.83927792700001</v>
      </c>
      <c r="F65" s="1246"/>
      <c r="G65" s="1247">
        <f>SUM(F66:F78)</f>
        <v>117.55086817599999</v>
      </c>
    </row>
    <row r="66" spans="1:17" ht="15" x14ac:dyDescent="0.25">
      <c r="A66" s="502">
        <v>62250</v>
      </c>
      <c r="B66" s="505"/>
      <c r="C66" s="1257" t="s">
        <v>2182</v>
      </c>
      <c r="D66" s="1247">
        <f>'[15]Input Sheet'!G1072</f>
        <v>8.7209275000000003E-2</v>
      </c>
      <c r="E66" s="1247"/>
      <c r="F66" s="1246">
        <v>9.7764642999999998E-2</v>
      </c>
      <c r="G66" s="1247"/>
    </row>
    <row r="67" spans="1:17" ht="15" x14ac:dyDescent="0.25">
      <c r="A67" s="502">
        <v>62280</v>
      </c>
      <c r="B67" s="505"/>
      <c r="C67" s="1257" t="s">
        <v>2183</v>
      </c>
      <c r="D67" s="1247">
        <f>('[15]Input Sheet'!G1077)</f>
        <v>0.70306400000000002</v>
      </c>
      <c r="E67" s="1247"/>
      <c r="F67" s="1246">
        <v>0</v>
      </c>
      <c r="G67" s="1247"/>
    </row>
    <row r="68" spans="1:17" ht="15" x14ac:dyDescent="0.25">
      <c r="A68" s="502">
        <v>62921</v>
      </c>
      <c r="B68" s="505"/>
      <c r="C68" s="1257" t="s">
        <v>2184</v>
      </c>
      <c r="D68" s="1247">
        <f>'[15]Input Sheet'!G1092</f>
        <v>3.2746448530000003</v>
      </c>
      <c r="E68" s="1247"/>
      <c r="F68" s="1246">
        <v>2.9350229510000001</v>
      </c>
      <c r="G68" s="1247"/>
    </row>
    <row r="69" spans="1:17" ht="15" x14ac:dyDescent="0.25">
      <c r="A69" s="502">
        <v>62928</v>
      </c>
      <c r="B69" s="505"/>
      <c r="C69" s="1257" t="s">
        <v>2185</v>
      </c>
      <c r="D69" s="1247">
        <f>'[15]Input Sheet'!G1094</f>
        <v>0</v>
      </c>
      <c r="E69" s="1247"/>
      <c r="F69" s="1246">
        <v>0</v>
      </c>
      <c r="G69" s="1247"/>
    </row>
    <row r="70" spans="1:17" ht="15" x14ac:dyDescent="0.25">
      <c r="A70" s="502">
        <v>62929</v>
      </c>
      <c r="B70" s="505"/>
      <c r="C70" s="1257" t="s">
        <v>2186</v>
      </c>
      <c r="D70" s="1247">
        <f>'[15]Input Sheet'!G1095</f>
        <v>4.7282187799999997</v>
      </c>
      <c r="E70" s="1247"/>
      <c r="F70" s="1246">
        <v>0</v>
      </c>
      <c r="G70" s="1247"/>
    </row>
    <row r="71" spans="1:17" ht="15" x14ac:dyDescent="0.25">
      <c r="A71" s="502">
        <v>62951</v>
      </c>
      <c r="B71" s="505"/>
      <c r="C71" s="1257" t="s">
        <v>2187</v>
      </c>
      <c r="D71" s="1247">
        <f>'[15]Input Sheet'!G1096</f>
        <v>3.4224999999999998E-2</v>
      </c>
      <c r="E71" s="1247"/>
      <c r="F71" s="1246">
        <v>3.0724999999999999E-2</v>
      </c>
      <c r="G71" s="1247"/>
    </row>
    <row r="72" spans="1:17" ht="15" x14ac:dyDescent="0.25">
      <c r="A72" s="502">
        <v>62952</v>
      </c>
      <c r="B72" s="505"/>
      <c r="C72" s="1264" t="s">
        <v>2188</v>
      </c>
      <c r="D72" s="1247">
        <f>+'[15]Input Sheet'!G1097</f>
        <v>0</v>
      </c>
      <c r="E72" s="1247"/>
      <c r="F72" s="1246">
        <v>0</v>
      </c>
      <c r="G72" s="1247"/>
      <c r="H72" s="510"/>
    </row>
    <row r="73" spans="1:17" ht="15" x14ac:dyDescent="0.25">
      <c r="A73" s="502">
        <v>62953</v>
      </c>
      <c r="B73" s="505"/>
      <c r="C73" s="1264" t="s">
        <v>2189</v>
      </c>
      <c r="D73" s="1247">
        <f>+'[15]Input Sheet'!G1098</f>
        <v>0</v>
      </c>
      <c r="E73" s="1247"/>
      <c r="F73" s="1246">
        <v>0</v>
      </c>
      <c r="G73" s="1247"/>
    </row>
    <row r="74" spans="1:17" s="414" customFormat="1" ht="15" x14ac:dyDescent="0.25">
      <c r="A74" s="502">
        <v>62990</v>
      </c>
      <c r="B74" s="505"/>
      <c r="C74" s="1244" t="s">
        <v>2190</v>
      </c>
      <c r="D74" s="1245">
        <f>'[15]Input Sheet'!G1099</f>
        <v>3.2100675820000002</v>
      </c>
      <c r="E74" s="1245"/>
      <c r="F74" s="1253">
        <v>8.6141817959999987</v>
      </c>
      <c r="G74" s="1245"/>
      <c r="Q74" s="1146"/>
    </row>
    <row r="75" spans="1:17" s="414" customFormat="1" ht="15" x14ac:dyDescent="0.25">
      <c r="A75" s="502">
        <v>62991</v>
      </c>
      <c r="B75" s="505"/>
      <c r="C75" s="505" t="s">
        <v>2191</v>
      </c>
      <c r="D75" s="1245">
        <f>'[15]Input Sheet'!G1100</f>
        <v>105.71124258200001</v>
      </c>
      <c r="E75" s="1245"/>
      <c r="F75" s="1246">
        <v>51.429093205000001</v>
      </c>
      <c r="G75" s="1247"/>
      <c r="Q75" s="1146"/>
    </row>
    <row r="76" spans="1:17" ht="15" x14ac:dyDescent="0.25">
      <c r="A76" s="504">
        <v>79570</v>
      </c>
      <c r="B76" s="505"/>
      <c r="C76" s="1257" t="s">
        <v>2192</v>
      </c>
      <c r="D76" s="1247">
        <f>'[15]Input Sheet'!G1314</f>
        <v>0</v>
      </c>
      <c r="E76" s="1247"/>
      <c r="F76" s="1246">
        <v>0</v>
      </c>
      <c r="G76" s="1247"/>
    </row>
    <row r="77" spans="1:17" ht="15" x14ac:dyDescent="0.25">
      <c r="A77" s="504">
        <v>79561</v>
      </c>
      <c r="B77" s="505"/>
      <c r="C77" s="1257" t="s">
        <v>2193</v>
      </c>
      <c r="D77" s="1247">
        <f>IF('[15]Input Sheet'!G1312&gt;0,0,-'[15]Input Sheet'!G1312)</f>
        <v>10.117005855</v>
      </c>
      <c r="E77" s="1247"/>
      <c r="F77" s="1246">
        <v>54.444080580999994</v>
      </c>
      <c r="G77" s="1247"/>
    </row>
    <row r="78" spans="1:17" ht="15" x14ac:dyDescent="0.25">
      <c r="A78" s="502">
        <v>62330</v>
      </c>
      <c r="B78" s="505"/>
      <c r="C78" s="1257" t="s">
        <v>2194</v>
      </c>
      <c r="D78" s="1247">
        <f>+'[15]Input Sheet'!G1079</f>
        <v>-2.64E-2</v>
      </c>
      <c r="E78" s="1247"/>
      <c r="F78" s="1246">
        <v>0</v>
      </c>
      <c r="G78" s="1247">
        <f>F78</f>
        <v>0</v>
      </c>
    </row>
    <row r="79" spans="1:17" ht="15" x14ac:dyDescent="0.25">
      <c r="A79" s="504"/>
      <c r="B79" s="505"/>
      <c r="C79" s="1260" t="s">
        <v>867</v>
      </c>
      <c r="D79" s="1247"/>
      <c r="E79" s="1247"/>
      <c r="F79" s="1253"/>
      <c r="G79" s="1245"/>
    </row>
    <row r="80" spans="1:17" ht="15" x14ac:dyDescent="0.25">
      <c r="A80" s="504"/>
      <c r="B80" s="505"/>
      <c r="C80" s="1248" t="s">
        <v>953</v>
      </c>
      <c r="D80" s="1245"/>
      <c r="E80" s="1245">
        <f>SUM(E42:E79)</f>
        <v>250.19499403200001</v>
      </c>
      <c r="F80" s="1246"/>
      <c r="G80" s="1245">
        <f>SUM(G42:G79)</f>
        <v>223.51966144199997</v>
      </c>
    </row>
    <row r="81" spans="1:9" ht="15" x14ac:dyDescent="0.25">
      <c r="A81" s="504"/>
      <c r="B81" s="505"/>
      <c r="C81" s="1260"/>
      <c r="D81" s="1247"/>
      <c r="E81" s="1247"/>
      <c r="F81" s="1246"/>
      <c r="G81" s="1247"/>
    </row>
    <row r="82" spans="1:9" ht="15" x14ac:dyDescent="0.25">
      <c r="A82" s="504"/>
      <c r="B82" s="505">
        <v>25</v>
      </c>
      <c r="C82" s="1248" t="s">
        <v>956</v>
      </c>
      <c r="D82" s="1247"/>
      <c r="E82" s="1247"/>
      <c r="F82" s="1246"/>
      <c r="G82" s="1247"/>
    </row>
    <row r="83" spans="1:9" ht="15" x14ac:dyDescent="0.25">
      <c r="A83" s="504"/>
      <c r="B83" s="505"/>
      <c r="C83" s="1256" t="s">
        <v>573</v>
      </c>
      <c r="D83" s="1247"/>
      <c r="E83" s="1245">
        <f>SUM(D84:D106)</f>
        <v>21401.30131345</v>
      </c>
      <c r="F83" s="1246"/>
      <c r="G83" s="1245">
        <f>SUM(F84:F106)</f>
        <v>13994.072569645998</v>
      </c>
    </row>
    <row r="84" spans="1:9" ht="15" x14ac:dyDescent="0.25">
      <c r="A84" s="502">
        <v>71110</v>
      </c>
      <c r="B84" s="505"/>
      <c r="C84" s="1257" t="s">
        <v>2195</v>
      </c>
      <c r="D84" s="1247">
        <f>'[15]Input Sheet'!G1116</f>
        <v>10967.582866089999</v>
      </c>
      <c r="E84" s="1247"/>
      <c r="F84" s="1246">
        <v>10427.772729974</v>
      </c>
      <c r="G84" s="1247"/>
      <c r="H84" s="1266"/>
      <c r="I84" s="1267"/>
    </row>
    <row r="85" spans="1:9" ht="15" x14ac:dyDescent="0.25">
      <c r="A85" s="502">
        <v>71111</v>
      </c>
      <c r="B85" s="505"/>
      <c r="C85" s="1257" t="s">
        <v>2196</v>
      </c>
      <c r="D85" s="1247">
        <f>'[15]Input Sheet'!G1117</f>
        <v>4156.1774659180001</v>
      </c>
      <c r="E85" s="1247"/>
      <c r="F85" s="1246">
        <v>2619.670630054</v>
      </c>
      <c r="G85" s="1247"/>
      <c r="H85" s="512"/>
    </row>
    <row r="86" spans="1:9" ht="15" x14ac:dyDescent="0.25">
      <c r="A86" s="502">
        <v>71112</v>
      </c>
      <c r="B86" s="505"/>
      <c r="C86" s="1257" t="s">
        <v>2197</v>
      </c>
      <c r="D86" s="1247">
        <f>'[15]Input Sheet'!G1118</f>
        <v>5162.8791158439999</v>
      </c>
      <c r="E86" s="1247"/>
      <c r="F86" s="1246">
        <v>2.0031000000000002E-5</v>
      </c>
      <c r="G86" s="1247"/>
      <c r="H86" s="512"/>
    </row>
    <row r="87" spans="1:9" ht="14.25" customHeight="1" x14ac:dyDescent="0.25">
      <c r="A87" s="502">
        <v>71211</v>
      </c>
      <c r="B87" s="505"/>
      <c r="C87" s="1257" t="s">
        <v>2198</v>
      </c>
      <c r="D87" s="1247">
        <f>'[15]Input Sheet'!G1125</f>
        <v>818.979111042</v>
      </c>
      <c r="E87" s="1247"/>
      <c r="F87" s="1246">
        <v>715.23236521899992</v>
      </c>
      <c r="G87" s="1247"/>
      <c r="H87" s="512"/>
      <c r="I87" s="1267"/>
    </row>
    <row r="88" spans="1:9" ht="15" x14ac:dyDescent="0.25">
      <c r="A88" s="502">
        <v>71212</v>
      </c>
      <c r="B88" s="505"/>
      <c r="C88" s="1257" t="s">
        <v>2199</v>
      </c>
      <c r="D88" s="1247">
        <f>'[15]Input Sheet'!G1126</f>
        <v>55.004993333000002</v>
      </c>
      <c r="E88" s="1247"/>
      <c r="F88" s="1246">
        <v>8.5745492700000003</v>
      </c>
      <c r="G88" s="1247"/>
      <c r="H88" s="512"/>
      <c r="I88" s="1267"/>
    </row>
    <row r="89" spans="1:9" ht="15" x14ac:dyDescent="0.25">
      <c r="A89" s="502">
        <v>71213</v>
      </c>
      <c r="B89" s="505"/>
      <c r="C89" s="1257" t="s">
        <v>2200</v>
      </c>
      <c r="D89" s="1247">
        <f>'[15]Input Sheet'!G1127</f>
        <v>8.9883372000000003E-2</v>
      </c>
      <c r="E89" s="1247"/>
      <c r="F89" s="1246">
        <v>9.9491099999999999E-2</v>
      </c>
      <c r="G89" s="1247"/>
    </row>
    <row r="90" spans="1:9" ht="15" x14ac:dyDescent="0.25">
      <c r="A90" s="502">
        <v>71216</v>
      </c>
      <c r="B90" s="505"/>
      <c r="C90" s="1257" t="s">
        <v>2201</v>
      </c>
      <c r="D90" s="1247">
        <f>'[15]Input Sheet'!G1129</f>
        <v>1.244713602</v>
      </c>
      <c r="E90" s="1247"/>
      <c r="F90" s="1246">
        <v>2.1652836</v>
      </c>
      <c r="G90" s="1247"/>
      <c r="H90" s="425"/>
      <c r="I90" s="1267"/>
    </row>
    <row r="91" spans="1:9" x14ac:dyDescent="0.2">
      <c r="A91" s="502">
        <v>71217</v>
      </c>
      <c r="C91" s="1257" t="s">
        <v>2202</v>
      </c>
      <c r="D91" s="1250">
        <f>'[15]Input Sheet'!G1130</f>
        <v>2.07395218</v>
      </c>
      <c r="E91" s="1247"/>
      <c r="F91" s="1246"/>
      <c r="G91" s="1247"/>
      <c r="H91" s="425"/>
      <c r="I91" s="1267"/>
    </row>
    <row r="92" spans="1:9" ht="15" x14ac:dyDescent="0.25">
      <c r="A92" s="502">
        <v>71218</v>
      </c>
      <c r="B92" s="505"/>
      <c r="C92" s="1257" t="s">
        <v>2203</v>
      </c>
      <c r="D92" s="1247">
        <f>'[15]Input Sheet'!G1131</f>
        <v>0.38544288199999999</v>
      </c>
      <c r="E92" s="1247"/>
      <c r="F92" s="1246">
        <v>0.22139065899999999</v>
      </c>
      <c r="G92" s="1247"/>
    </row>
    <row r="93" spans="1:9" ht="15" x14ac:dyDescent="0.25">
      <c r="A93" s="502">
        <v>71219</v>
      </c>
      <c r="B93" s="505"/>
      <c r="C93" s="1257" t="s">
        <v>2204</v>
      </c>
      <c r="D93" s="1247">
        <f>'[15]Input Sheet'!G1132</f>
        <v>197.67955879100001</v>
      </c>
      <c r="E93" s="1247"/>
      <c r="F93" s="1246">
        <v>159.47752074900001</v>
      </c>
      <c r="G93" s="1247"/>
      <c r="H93" s="425"/>
      <c r="I93" s="1267"/>
    </row>
    <row r="94" spans="1:9" ht="15" x14ac:dyDescent="0.25">
      <c r="A94" s="502">
        <v>71299</v>
      </c>
      <c r="B94" s="505"/>
      <c r="C94" s="1257" t="s">
        <v>2204</v>
      </c>
      <c r="D94" s="1247">
        <f>+'[15]Input Sheet'!G1137</f>
        <v>20.094398305999999</v>
      </c>
      <c r="E94" s="1247"/>
      <c r="F94" s="1246">
        <v>42.205007854999998</v>
      </c>
      <c r="G94" s="1247"/>
      <c r="H94" s="425"/>
      <c r="I94" s="1267"/>
    </row>
    <row r="95" spans="1:9" ht="15" x14ac:dyDescent="0.25">
      <c r="A95" s="502">
        <v>71410</v>
      </c>
      <c r="B95" s="505"/>
      <c r="C95" s="1257" t="s">
        <v>2205</v>
      </c>
      <c r="D95" s="1247">
        <f>'[15]Input Sheet'!G1140</f>
        <v>20.148318773</v>
      </c>
      <c r="E95" s="1247"/>
      <c r="F95" s="1246">
        <v>3.3581571179999998</v>
      </c>
      <c r="G95" s="1247"/>
    </row>
    <row r="96" spans="1:9" ht="15" x14ac:dyDescent="0.25">
      <c r="A96" s="502">
        <v>71990</v>
      </c>
      <c r="B96" s="505"/>
      <c r="C96" s="1257" t="s">
        <v>2206</v>
      </c>
      <c r="D96" s="1247">
        <f>'[15]Input Sheet'!G1149</f>
        <v>0</v>
      </c>
      <c r="E96" s="1247"/>
      <c r="F96" s="1246">
        <v>0</v>
      </c>
      <c r="G96" s="1247"/>
    </row>
    <row r="97" spans="1:7" ht="15" x14ac:dyDescent="0.25">
      <c r="A97" s="502">
        <v>71991</v>
      </c>
      <c r="B97" s="505"/>
      <c r="C97" s="1257" t="s">
        <v>2207</v>
      </c>
      <c r="D97" s="1247">
        <f>'[15]Input Sheet'!G1150</f>
        <v>-5.774400902</v>
      </c>
      <c r="E97" s="1247"/>
      <c r="F97" s="1246">
        <v>-0.15137637900000001</v>
      </c>
      <c r="G97" s="1247"/>
    </row>
    <row r="98" spans="1:7" ht="14.25" customHeight="1" x14ac:dyDescent="0.25">
      <c r="A98" s="502">
        <v>71997</v>
      </c>
      <c r="B98" s="505"/>
      <c r="C98" s="1257" t="s">
        <v>2208</v>
      </c>
      <c r="D98" s="1247">
        <f>'[15]Input Sheet'!G1153</f>
        <v>-0.46695213200000002</v>
      </c>
      <c r="E98" s="1247"/>
      <c r="F98" s="1246">
        <v>-3.8750173999999998E-2</v>
      </c>
      <c r="G98" s="1247"/>
    </row>
    <row r="99" spans="1:7" ht="15" x14ac:dyDescent="0.25">
      <c r="A99" s="502">
        <v>72101</v>
      </c>
      <c r="B99" s="505"/>
      <c r="C99" s="1257" t="s">
        <v>2209</v>
      </c>
      <c r="D99" s="1247">
        <f>'[15]Input Sheet'!G1156</f>
        <v>1.2520435999999999E-2</v>
      </c>
      <c r="E99" s="1247"/>
      <c r="F99" s="1246">
        <v>1.4573790000000002E-3</v>
      </c>
      <c r="G99" s="1247"/>
    </row>
    <row r="100" spans="1:7" ht="15" x14ac:dyDescent="0.25">
      <c r="A100" s="502">
        <v>72202</v>
      </c>
      <c r="B100" s="505"/>
      <c r="C100" s="1257" t="s">
        <v>2210</v>
      </c>
      <c r="D100" s="1247">
        <f>'[15]Input Sheet'!G1159</f>
        <v>0</v>
      </c>
      <c r="E100" s="1247"/>
      <c r="F100" s="1246">
        <v>0</v>
      </c>
      <c r="G100" s="1247"/>
    </row>
    <row r="101" spans="1:7" ht="15" x14ac:dyDescent="0.25">
      <c r="A101" s="502">
        <v>79110</v>
      </c>
      <c r="B101" s="505"/>
      <c r="C101" s="1257" t="s">
        <v>2211</v>
      </c>
      <c r="D101" s="1247">
        <f>'[15]Input Sheet'!G1302</f>
        <v>1.00359E-3</v>
      </c>
      <c r="E101" s="1247"/>
      <c r="F101" s="1246">
        <v>0</v>
      </c>
      <c r="G101" s="1247"/>
    </row>
    <row r="102" spans="1:7" ht="15" x14ac:dyDescent="0.25">
      <c r="A102" s="502">
        <v>79125</v>
      </c>
      <c r="B102" s="505"/>
      <c r="C102" s="1257" t="s">
        <v>2212</v>
      </c>
      <c r="D102" s="1247">
        <f>'[15]Input Sheet'!G1304</f>
        <v>4.5835384890000004</v>
      </c>
      <c r="E102" s="1247"/>
      <c r="F102" s="1246">
        <v>15.551907165000001</v>
      </c>
      <c r="G102" s="1247"/>
    </row>
    <row r="103" spans="1:7" ht="15" x14ac:dyDescent="0.25">
      <c r="A103" s="502">
        <v>79126</v>
      </c>
      <c r="B103" s="505"/>
      <c r="C103" s="1257" t="s">
        <v>2213</v>
      </c>
      <c r="D103" s="1247">
        <f>'[15]Input Sheet'!G1305</f>
        <v>9.3289635999999995E-2</v>
      </c>
      <c r="E103" s="1247"/>
      <c r="F103" s="1246">
        <v>-0.13153250599999999</v>
      </c>
      <c r="G103" s="1247"/>
    </row>
    <row r="104" spans="1:7" ht="15" x14ac:dyDescent="0.25">
      <c r="A104" s="1268">
        <v>80100</v>
      </c>
      <c r="B104" s="1269"/>
      <c r="C104" s="1270" t="s">
        <v>2214</v>
      </c>
      <c r="D104" s="1271">
        <f>'[15]Input Sheet'!G1323</f>
        <v>0</v>
      </c>
      <c r="E104" s="1247"/>
      <c r="F104" s="1246">
        <v>3.0602738000000001E-2</v>
      </c>
      <c r="G104" s="1247"/>
    </row>
    <row r="105" spans="1:7" ht="15" x14ac:dyDescent="0.25">
      <c r="A105" s="1268">
        <v>80200</v>
      </c>
      <c r="B105" s="1269"/>
      <c r="C105" s="1270" t="s">
        <v>2215</v>
      </c>
      <c r="D105" s="1271">
        <f>'[15]Input Sheet'!G1324</f>
        <v>0.51249420000000001</v>
      </c>
      <c r="E105" s="1247"/>
      <c r="F105" s="1246">
        <v>3.3115793999999997E-2</v>
      </c>
      <c r="G105" s="1247"/>
    </row>
    <row r="106" spans="1:7" ht="15" x14ac:dyDescent="0.25">
      <c r="A106" s="1268">
        <v>80300</v>
      </c>
      <c r="B106" s="1269"/>
      <c r="C106" s="1270" t="s">
        <v>2216</v>
      </c>
      <c r="D106" s="1271">
        <f>'[15]Input Sheet'!G1325</f>
        <v>0</v>
      </c>
      <c r="E106" s="1247"/>
      <c r="F106" s="1246">
        <v>0</v>
      </c>
      <c r="G106" s="1247"/>
    </row>
    <row r="107" spans="1:7" ht="15" x14ac:dyDescent="0.25">
      <c r="A107" s="504"/>
      <c r="B107" s="505"/>
      <c r="C107" s="1257"/>
      <c r="D107" s="1247"/>
      <c r="E107" s="1247"/>
      <c r="F107" s="1246"/>
      <c r="G107" s="1247"/>
    </row>
    <row r="108" spans="1:7" ht="15" x14ac:dyDescent="0.25">
      <c r="A108" s="504">
        <v>71301</v>
      </c>
      <c r="B108" s="505"/>
      <c r="C108" s="414" t="s">
        <v>2217</v>
      </c>
      <c r="D108" s="1246"/>
      <c r="E108" s="1247">
        <f>+'[15]Input Sheet'!G1138</f>
        <v>211.03443160200001</v>
      </c>
      <c r="F108" s="1246"/>
      <c r="G108" s="1247">
        <v>181.17247039</v>
      </c>
    </row>
    <row r="109" spans="1:7" ht="15" x14ac:dyDescent="0.25">
      <c r="A109" s="504"/>
      <c r="B109" s="505"/>
      <c r="C109" s="414"/>
      <c r="D109" s="1246"/>
      <c r="E109" s="1247"/>
      <c r="F109" s="1246"/>
      <c r="G109" s="1247"/>
    </row>
    <row r="110" spans="1:7" ht="15" x14ac:dyDescent="0.25">
      <c r="A110" s="504">
        <v>71302</v>
      </c>
      <c r="B110" s="505"/>
      <c r="C110" s="414" t="s">
        <v>579</v>
      </c>
      <c r="D110" s="1246"/>
      <c r="E110" s="1247">
        <f>+'[15]Input Sheet'!G1139</f>
        <v>278.2720339</v>
      </c>
      <c r="F110" s="1246"/>
      <c r="G110" s="1247">
        <v>388.1135653</v>
      </c>
    </row>
    <row r="111" spans="1:7" ht="15" x14ac:dyDescent="0.25">
      <c r="A111" s="504"/>
      <c r="B111" s="505"/>
      <c r="C111" s="1249"/>
      <c r="D111" s="1247"/>
      <c r="E111" s="1247"/>
      <c r="F111" s="1246"/>
      <c r="G111" s="1247"/>
    </row>
    <row r="112" spans="1:7" ht="15" x14ac:dyDescent="0.25">
      <c r="A112" s="504"/>
      <c r="B112" s="505"/>
      <c r="C112" s="1256" t="s">
        <v>575</v>
      </c>
      <c r="D112" s="1247"/>
      <c r="E112" s="1247">
        <f>SUM(D113:D114)</f>
        <v>945.23648727700004</v>
      </c>
      <c r="F112" s="1246"/>
      <c r="G112" s="1247">
        <f>SUM(F113:F114)</f>
        <v>377.162098996</v>
      </c>
    </row>
    <row r="113" spans="1:7" ht="15" x14ac:dyDescent="0.25">
      <c r="A113" s="502">
        <v>71140</v>
      </c>
      <c r="B113" s="505"/>
      <c r="C113" s="1257" t="s">
        <v>2218</v>
      </c>
      <c r="D113" s="1247">
        <f>'[15]Input Sheet'!G1122</f>
        <v>945.23648727700004</v>
      </c>
      <c r="E113" s="1247"/>
      <c r="F113" s="1247">
        <v>377.162098996</v>
      </c>
      <c r="G113" s="1247"/>
    </row>
    <row r="114" spans="1:7" ht="15" x14ac:dyDescent="0.25">
      <c r="A114" s="502">
        <v>71992</v>
      </c>
      <c r="B114" s="505"/>
      <c r="C114" s="1257" t="s">
        <v>2219</v>
      </c>
      <c r="D114" s="1247">
        <f>'[15]Input Sheet'!G1151</f>
        <v>0</v>
      </c>
      <c r="E114" s="1247"/>
      <c r="F114" s="1247">
        <v>0</v>
      </c>
      <c r="G114" s="1247"/>
    </row>
    <row r="115" spans="1:7" ht="15" x14ac:dyDescent="0.25">
      <c r="A115" s="504"/>
      <c r="B115" s="505"/>
      <c r="C115" s="1249"/>
      <c r="D115" s="1247"/>
      <c r="E115" s="1247"/>
      <c r="F115" s="1246"/>
      <c r="G115" s="1247"/>
    </row>
    <row r="116" spans="1:7" ht="15" x14ac:dyDescent="0.25">
      <c r="A116" s="504"/>
      <c r="B116" s="505"/>
      <c r="C116" s="1256" t="s">
        <v>576</v>
      </c>
      <c r="D116" s="1247"/>
      <c r="E116" s="1247">
        <f>SUM(D117:D125)</f>
        <v>822.98541388900003</v>
      </c>
      <c r="F116" s="1246"/>
      <c r="G116" s="1247">
        <f>SUM(F117:F125)</f>
        <v>395.10324600200005</v>
      </c>
    </row>
    <row r="117" spans="1:7" ht="15" x14ac:dyDescent="0.25">
      <c r="A117" s="502">
        <v>71120</v>
      </c>
      <c r="B117" s="505"/>
      <c r="C117" s="1257" t="s">
        <v>2220</v>
      </c>
      <c r="D117" s="1247">
        <f>'[15]Input Sheet'!G1119</f>
        <v>652.89816069400001</v>
      </c>
      <c r="E117" s="1247"/>
      <c r="F117" s="1246">
        <v>287.973001415</v>
      </c>
      <c r="G117" s="1247"/>
    </row>
    <row r="118" spans="1:7" ht="15" x14ac:dyDescent="0.25">
      <c r="A118" s="502">
        <v>71121</v>
      </c>
      <c r="B118" s="505"/>
      <c r="C118" s="1257" t="s">
        <v>2221</v>
      </c>
      <c r="D118" s="1247">
        <f>'[15]Input Sheet'!G1120</f>
        <v>119.78515396900001</v>
      </c>
      <c r="E118" s="1247"/>
      <c r="F118" s="1246">
        <v>71.708640434000003</v>
      </c>
      <c r="G118" s="1247"/>
    </row>
    <row r="119" spans="1:7" ht="15" x14ac:dyDescent="0.25">
      <c r="A119" s="502">
        <v>71122</v>
      </c>
      <c r="B119" s="505"/>
      <c r="C119" s="1257" t="s">
        <v>2222</v>
      </c>
      <c r="D119" s="1247">
        <f>'[15]Input Sheet'!G1121</f>
        <v>49.747377733</v>
      </c>
      <c r="E119" s="1247"/>
      <c r="F119" s="1246">
        <v>34.689549036999999</v>
      </c>
      <c r="G119" s="1247"/>
    </row>
    <row r="120" spans="1:7" ht="15" x14ac:dyDescent="0.25">
      <c r="A120" s="502">
        <v>71141</v>
      </c>
      <c r="B120" s="505"/>
      <c r="C120" s="1257" t="s">
        <v>2223</v>
      </c>
      <c r="D120" s="1247">
        <f>'[15]Input Sheet'!G1123</f>
        <v>0.51784466200000001</v>
      </c>
      <c r="E120" s="1247"/>
      <c r="F120" s="1246">
        <v>0.66818860499999999</v>
      </c>
      <c r="G120" s="1247"/>
    </row>
    <row r="121" spans="1:7" ht="15" x14ac:dyDescent="0.25">
      <c r="A121" s="502">
        <v>71221</v>
      </c>
      <c r="B121" s="505"/>
      <c r="C121" s="1257" t="s">
        <v>2224</v>
      </c>
      <c r="D121" s="1247">
        <f>'[15]Input Sheet'!G1133</f>
        <v>0</v>
      </c>
      <c r="E121" s="1247"/>
      <c r="F121" s="1246">
        <v>0</v>
      </c>
      <c r="G121" s="1247"/>
    </row>
    <row r="122" spans="1:7" ht="15" x14ac:dyDescent="0.25">
      <c r="A122" s="502">
        <v>71222</v>
      </c>
      <c r="B122" s="505"/>
      <c r="C122" s="1257" t="s">
        <v>2225</v>
      </c>
      <c r="D122" s="1247">
        <f>'[15]Input Sheet'!G1134</f>
        <v>0.24358579999999999</v>
      </c>
      <c r="E122" s="1247"/>
      <c r="F122" s="1246">
        <v>8.6617299999999994E-2</v>
      </c>
      <c r="G122" s="1247"/>
    </row>
    <row r="123" spans="1:7" ht="15" x14ac:dyDescent="0.25">
      <c r="A123" s="1272">
        <v>71224</v>
      </c>
      <c r="B123" s="1273"/>
      <c r="C123" s="1274" t="s">
        <v>2226</v>
      </c>
      <c r="D123" s="1275">
        <f>'[15]Input Sheet'!G1135</f>
        <v>1.4205167999999999E-2</v>
      </c>
      <c r="E123" s="1247"/>
      <c r="F123" s="1246"/>
      <c r="G123" s="1247"/>
    </row>
    <row r="124" spans="1:7" ht="15" x14ac:dyDescent="0.25">
      <c r="A124" s="502">
        <v>71420</v>
      </c>
      <c r="B124" s="505"/>
      <c r="C124" s="1257" t="s">
        <v>2227</v>
      </c>
      <c r="D124" s="1247">
        <f>'[15]Input Sheet'!G1141</f>
        <v>0</v>
      </c>
      <c r="E124" s="1247"/>
      <c r="F124" s="1246">
        <v>0</v>
      </c>
      <c r="G124" s="1247"/>
    </row>
    <row r="125" spans="1:7" ht="15" x14ac:dyDescent="0.25">
      <c r="A125" s="502">
        <v>71993</v>
      </c>
      <c r="B125" s="505"/>
      <c r="C125" s="1257" t="s">
        <v>2228</v>
      </c>
      <c r="D125" s="1247">
        <f>'[15]Input Sheet'!G1152</f>
        <v>-0.22091413700000001</v>
      </c>
      <c r="E125" s="1247"/>
      <c r="F125" s="1246">
        <v>-2.2750789E-2</v>
      </c>
      <c r="G125" s="1247"/>
    </row>
    <row r="126" spans="1:7" ht="15" x14ac:dyDescent="0.25">
      <c r="A126" s="504"/>
      <c r="B126" s="505"/>
      <c r="C126" s="1249"/>
      <c r="D126" s="1247"/>
      <c r="E126" s="1247"/>
      <c r="F126" s="1246"/>
      <c r="G126" s="1247"/>
    </row>
    <row r="127" spans="1:7" ht="15" x14ac:dyDescent="0.25">
      <c r="A127" s="504"/>
      <c r="B127" s="505"/>
      <c r="C127" s="1256" t="s">
        <v>577</v>
      </c>
      <c r="D127" s="1247"/>
      <c r="E127" s="1247">
        <f>SUM(D128:D132)</f>
        <v>324.15974496300004</v>
      </c>
      <c r="F127" s="1246"/>
      <c r="G127" s="1247">
        <f>SUM(F128:F132)</f>
        <v>288.81969009599993</v>
      </c>
    </row>
    <row r="128" spans="1:7" ht="14.25" customHeight="1" x14ac:dyDescent="0.25">
      <c r="A128" s="502">
        <v>71157</v>
      </c>
      <c r="B128" s="505"/>
      <c r="C128" s="1257" t="s">
        <v>2229</v>
      </c>
      <c r="D128" s="1247">
        <f>'[15]Input Sheet'!G1124</f>
        <v>3.650187125</v>
      </c>
      <c r="E128" s="1247"/>
      <c r="F128" s="1246">
        <v>-1.6741149749999999</v>
      </c>
      <c r="G128" s="1247"/>
    </row>
    <row r="129" spans="1:10" ht="15" x14ac:dyDescent="0.25">
      <c r="A129" s="502">
        <v>71500</v>
      </c>
      <c r="B129" s="505"/>
      <c r="C129" s="1257" t="s">
        <v>2230</v>
      </c>
      <c r="D129" s="1247">
        <f>'[15]Input Sheet'!G1143</f>
        <v>144.06102144300002</v>
      </c>
      <c r="E129" s="1247"/>
      <c r="F129" s="1246">
        <v>132.01824368299998</v>
      </c>
      <c r="G129" s="1247"/>
    </row>
    <row r="130" spans="1:10" ht="15" x14ac:dyDescent="0.25">
      <c r="A130" s="502">
        <v>71501</v>
      </c>
      <c r="B130" s="505"/>
      <c r="C130" s="1257" t="s">
        <v>2231</v>
      </c>
      <c r="D130" s="1247">
        <f>'[15]Input Sheet'!G1144</f>
        <v>105.67412043</v>
      </c>
      <c r="E130" s="1247"/>
      <c r="F130" s="1246">
        <v>114.56089134200001</v>
      </c>
      <c r="G130" s="1247"/>
    </row>
    <row r="131" spans="1:10" ht="15" x14ac:dyDescent="0.25">
      <c r="A131" s="502">
        <v>71504</v>
      </c>
      <c r="B131" s="505"/>
      <c r="C131" s="1257" t="s">
        <v>2232</v>
      </c>
      <c r="D131" s="1247">
        <f>'[15]Input Sheet'!G1145</f>
        <v>70.723579380999993</v>
      </c>
      <c r="E131" s="1247"/>
      <c r="F131" s="1246">
        <v>44.306594480999998</v>
      </c>
      <c r="G131" s="1247"/>
    </row>
    <row r="132" spans="1:10" ht="15" x14ac:dyDescent="0.25">
      <c r="A132" s="502">
        <v>79127</v>
      </c>
      <c r="B132" s="505"/>
      <c r="C132" s="1257" t="s">
        <v>2233</v>
      </c>
      <c r="D132" s="1247">
        <f>'[15]Input Sheet'!G1306</f>
        <v>5.0836584000000004E-2</v>
      </c>
      <c r="E132" s="1247"/>
      <c r="F132" s="1246">
        <v>-0.39192443500000002</v>
      </c>
      <c r="G132" s="1247"/>
      <c r="I132" s="163"/>
    </row>
    <row r="133" spans="1:10" ht="15" x14ac:dyDescent="0.25">
      <c r="A133" s="504"/>
      <c r="B133" s="505"/>
      <c r="C133" s="1249"/>
      <c r="D133" s="1247"/>
      <c r="E133" s="1247"/>
      <c r="F133" s="1246"/>
      <c r="G133" s="1247"/>
    </row>
    <row r="134" spans="1:10" ht="15" x14ac:dyDescent="0.25">
      <c r="A134" s="504"/>
      <c r="B134" s="505"/>
      <c r="C134" s="1248" t="s">
        <v>92</v>
      </c>
      <c r="D134" s="1245"/>
      <c r="E134" s="1245">
        <f>SUM(E83:E133)</f>
        <v>23982.989425080999</v>
      </c>
      <c r="F134" s="1246"/>
      <c r="G134" s="1245">
        <f>SUM(G83:G133)</f>
        <v>15624.443640429996</v>
      </c>
    </row>
    <row r="135" spans="1:10" ht="15" x14ac:dyDescent="0.25">
      <c r="A135" s="504"/>
      <c r="B135" s="505"/>
      <c r="C135" s="1260"/>
      <c r="D135" s="1247"/>
      <c r="E135" s="1247"/>
      <c r="F135" s="1246"/>
      <c r="G135" s="1247"/>
      <c r="J135" s="163"/>
    </row>
    <row r="136" spans="1:10" ht="15" x14ac:dyDescent="0.25">
      <c r="A136" s="504"/>
      <c r="B136" s="505">
        <v>26</v>
      </c>
      <c r="C136" s="1248" t="s">
        <v>957</v>
      </c>
      <c r="D136" s="1247"/>
      <c r="E136" s="1247"/>
      <c r="F136" s="1246"/>
      <c r="G136" s="1247"/>
    </row>
    <row r="137" spans="1:10" ht="15" x14ac:dyDescent="0.25">
      <c r="A137" s="504"/>
      <c r="B137" s="505"/>
      <c r="C137" s="1256" t="s">
        <v>2234</v>
      </c>
      <c r="D137" s="1247"/>
      <c r="E137" s="1250">
        <f>SUM(D138:D152)</f>
        <v>1268.3000814499999</v>
      </c>
      <c r="F137" s="1246"/>
      <c r="G137" s="1250">
        <f>SUM(F138:F152)</f>
        <v>1175.0356517450002</v>
      </c>
      <c r="H137" s="510"/>
    </row>
    <row r="138" spans="1:10" ht="15" x14ac:dyDescent="0.25">
      <c r="A138" s="502">
        <v>75110</v>
      </c>
      <c r="B138" s="505"/>
      <c r="C138" s="1257" t="s">
        <v>2235</v>
      </c>
      <c r="D138" s="1247">
        <f>'[15]Input Sheet'!G1173</f>
        <v>713.17355818599992</v>
      </c>
      <c r="E138" s="1247"/>
      <c r="F138" s="1246">
        <v>849.32316554300007</v>
      </c>
      <c r="G138" s="1247"/>
      <c r="H138" s="510"/>
      <c r="J138" s="1267"/>
    </row>
    <row r="139" spans="1:10" ht="15" x14ac:dyDescent="0.25">
      <c r="A139" s="502">
        <v>75120</v>
      </c>
      <c r="B139" s="505"/>
      <c r="C139" s="1257" t="s">
        <v>2236</v>
      </c>
      <c r="D139" s="1250">
        <f>'[15]Input Sheet'!G1174</f>
        <v>0</v>
      </c>
      <c r="E139" s="1247"/>
      <c r="F139" s="1246">
        <v>0</v>
      </c>
      <c r="G139" s="1247"/>
      <c r="J139" s="1267"/>
    </row>
    <row r="140" spans="1:10" ht="15" x14ac:dyDescent="0.25">
      <c r="A140" s="502">
        <v>75170</v>
      </c>
      <c r="B140" s="505"/>
      <c r="C140" s="1257" t="s">
        <v>2237</v>
      </c>
      <c r="D140" s="1247">
        <f>'[15]Input Sheet'!G1175</f>
        <v>44.435828299999997</v>
      </c>
      <c r="E140" s="1247"/>
      <c r="F140" s="1246">
        <v>34.217524599999997</v>
      </c>
      <c r="G140" s="1247"/>
      <c r="J140" s="1267"/>
    </row>
    <row r="141" spans="1:10" ht="15" x14ac:dyDescent="0.25">
      <c r="A141" s="502">
        <v>75210</v>
      </c>
      <c r="B141" s="505"/>
      <c r="C141" s="1257" t="s">
        <v>2238</v>
      </c>
      <c r="D141" s="1247">
        <f>'[15]Input Sheet'!G1176</f>
        <v>130.66704280799999</v>
      </c>
      <c r="E141" s="1247"/>
      <c r="F141" s="1246">
        <v>122.79145324000001</v>
      </c>
      <c r="G141" s="1247"/>
      <c r="J141" s="1267"/>
    </row>
    <row r="142" spans="1:10" ht="15" x14ac:dyDescent="0.25">
      <c r="A142" s="502">
        <v>75310</v>
      </c>
      <c r="B142" s="505"/>
      <c r="C142" s="1257" t="s">
        <v>2239</v>
      </c>
      <c r="D142" s="1247">
        <f>'[15]Input Sheet'!G1177</f>
        <v>269.04486934699997</v>
      </c>
      <c r="E142" s="1247"/>
      <c r="F142" s="1246">
        <v>32.650254519000001</v>
      </c>
      <c r="G142" s="1247"/>
      <c r="J142" s="1267"/>
    </row>
    <row r="143" spans="1:10" ht="15" x14ac:dyDescent="0.25">
      <c r="A143" s="502">
        <v>75410</v>
      </c>
      <c r="B143" s="505"/>
      <c r="C143" s="1257" t="s">
        <v>2240</v>
      </c>
      <c r="D143" s="1247">
        <f>'[15]Input Sheet'!G1178</f>
        <v>83.213969134999999</v>
      </c>
      <c r="E143" s="1247"/>
      <c r="F143" s="1246">
        <v>91.668830295000006</v>
      </c>
      <c r="G143" s="1247"/>
      <c r="J143" s="1267"/>
    </row>
    <row r="144" spans="1:10" ht="15" x14ac:dyDescent="0.25">
      <c r="A144" s="502">
        <v>75411</v>
      </c>
      <c r="B144" s="505"/>
      <c r="C144" s="1257" t="s">
        <v>2241</v>
      </c>
      <c r="D144" s="1247">
        <f>'[15]Input Sheet'!G1179</f>
        <v>5.2281999999999997E-3</v>
      </c>
      <c r="E144" s="1247"/>
      <c r="F144" s="1246">
        <v>2.3164299999999999E-2</v>
      </c>
      <c r="G144" s="1247"/>
      <c r="J144" s="1267"/>
    </row>
    <row r="145" spans="1:10" ht="15" x14ac:dyDescent="0.25">
      <c r="A145" s="502">
        <v>75412</v>
      </c>
      <c r="B145" s="505"/>
      <c r="C145" s="1257" t="s">
        <v>2242</v>
      </c>
      <c r="D145" s="1247">
        <f>'[15]Input Sheet'!G1180</f>
        <v>2.1117808999999998</v>
      </c>
      <c r="E145" s="1247"/>
      <c r="F145" s="1246">
        <v>2.6293243999999998</v>
      </c>
      <c r="G145" s="1247"/>
      <c r="J145" s="1267"/>
    </row>
    <row r="146" spans="1:10" ht="15" x14ac:dyDescent="0.25">
      <c r="A146" s="502">
        <v>75428</v>
      </c>
      <c r="B146" s="505"/>
      <c r="C146" s="1257" t="s">
        <v>2243</v>
      </c>
      <c r="D146" s="1247">
        <f>'[15]Input Sheet'!G1181</f>
        <v>0.16690042399999999</v>
      </c>
      <c r="E146" s="1247"/>
      <c r="F146" s="1246">
        <v>-2.0602891519999997</v>
      </c>
      <c r="G146" s="1247"/>
      <c r="J146" s="1267"/>
    </row>
    <row r="147" spans="1:10" ht="15" x14ac:dyDescent="0.25">
      <c r="A147" s="502">
        <v>75429</v>
      </c>
      <c r="B147" s="505"/>
      <c r="C147" s="511" t="s">
        <v>2244</v>
      </c>
      <c r="D147" s="1247">
        <f>'[15]Input Sheet'!G1182</f>
        <v>0.8156504</v>
      </c>
      <c r="E147" s="1247"/>
      <c r="F147" s="1246">
        <v>1.2578193</v>
      </c>
      <c r="G147" s="1247"/>
      <c r="J147" s="1267"/>
    </row>
    <row r="148" spans="1:10" ht="15" x14ac:dyDescent="0.25">
      <c r="A148" s="502">
        <v>75430</v>
      </c>
      <c r="B148" s="505"/>
      <c r="C148" s="511" t="s">
        <v>2245</v>
      </c>
      <c r="D148" s="1247">
        <f>'[15]Input Sheet'!G1183</f>
        <v>7.2638167999999999</v>
      </c>
      <c r="E148" s="1247"/>
      <c r="F148" s="1246">
        <v>11.513209399999999</v>
      </c>
      <c r="G148" s="1247"/>
      <c r="J148" s="1267"/>
    </row>
    <row r="149" spans="1:10" ht="15" x14ac:dyDescent="0.25">
      <c r="A149" s="502">
        <v>75434</v>
      </c>
      <c r="B149" s="505"/>
      <c r="C149" s="1257" t="s">
        <v>2246</v>
      </c>
      <c r="D149" s="1247">
        <f>'[15]Input Sheet'!G1184</f>
        <v>0.47499999999999998</v>
      </c>
      <c r="E149" s="1247"/>
      <c r="F149" s="1246">
        <v>8.6981000000000003E-3</v>
      </c>
      <c r="G149" s="1247"/>
      <c r="J149" s="1267"/>
    </row>
    <row r="150" spans="1:10" ht="15" x14ac:dyDescent="0.25">
      <c r="A150" s="502">
        <v>75510</v>
      </c>
      <c r="B150" s="505"/>
      <c r="C150" s="1257" t="s">
        <v>2247</v>
      </c>
      <c r="D150" s="1247">
        <f>'[15]Input Sheet'!G1185</f>
        <v>16.267168049999999</v>
      </c>
      <c r="E150" s="1247"/>
      <c r="F150" s="1246">
        <v>12.554615500000001</v>
      </c>
      <c r="G150" s="1247"/>
      <c r="J150" s="1267"/>
    </row>
    <row r="151" spans="1:10" ht="15" x14ac:dyDescent="0.25">
      <c r="A151" s="502">
        <v>75520</v>
      </c>
      <c r="B151" s="505"/>
      <c r="C151" s="1257" t="s">
        <v>2248</v>
      </c>
      <c r="D151" s="1247">
        <f>'[15]Input Sheet'!G1186</f>
        <v>5.9268899999999999E-2</v>
      </c>
      <c r="E151" s="1247"/>
      <c r="F151" s="1246">
        <v>-0.1425633</v>
      </c>
      <c r="G151" s="1247"/>
    </row>
    <row r="152" spans="1:10" ht="15" x14ac:dyDescent="0.25">
      <c r="A152" s="505">
        <v>75521</v>
      </c>
      <c r="B152" s="505"/>
      <c r="C152" s="1257" t="s">
        <v>2249</v>
      </c>
      <c r="D152" s="1247">
        <f>'[15]Input Sheet'!G1187</f>
        <v>0.6</v>
      </c>
      <c r="E152" s="1247"/>
      <c r="F152" s="1246">
        <v>18.600445000000001</v>
      </c>
      <c r="G152" s="1247"/>
    </row>
    <row r="153" spans="1:10" ht="15" x14ac:dyDescent="0.25">
      <c r="A153" s="504"/>
      <c r="B153" s="505"/>
      <c r="C153" s="1249"/>
      <c r="D153" s="1247"/>
      <c r="E153" s="1247"/>
      <c r="F153" s="1246"/>
      <c r="G153" s="1247"/>
    </row>
    <row r="154" spans="1:10" ht="15" x14ac:dyDescent="0.25">
      <c r="A154" s="502">
        <v>75810</v>
      </c>
      <c r="B154" s="505"/>
      <c r="C154" s="1276" t="s">
        <v>2250</v>
      </c>
      <c r="D154" s="1247"/>
      <c r="E154" s="1247">
        <f>'[15]Input Sheet'!G1207</f>
        <v>123.9564458</v>
      </c>
      <c r="F154" s="1246"/>
      <c r="G154" s="1247">
        <v>116.7236534</v>
      </c>
    </row>
    <row r="155" spans="1:10" ht="30" x14ac:dyDescent="0.25">
      <c r="A155" s="504"/>
      <c r="B155" s="505"/>
      <c r="C155" s="1276" t="s">
        <v>2251</v>
      </c>
      <c r="D155" s="1247"/>
      <c r="E155" s="1247">
        <f>SUM(D156:D161)</f>
        <v>214.22030843100001</v>
      </c>
      <c r="F155" s="1246"/>
      <c r="G155" s="1247">
        <f>SUM(F156:F160)</f>
        <v>239.19650861299999</v>
      </c>
      <c r="I155" s="510"/>
    </row>
    <row r="156" spans="1:10" ht="15" x14ac:dyDescent="0.25">
      <c r="A156" s="502">
        <v>75617</v>
      </c>
      <c r="B156" s="505"/>
      <c r="C156" s="1257" t="s">
        <v>2252</v>
      </c>
      <c r="D156" s="1247">
        <f>'[15]Input Sheet'!G1190</f>
        <v>57.8728677</v>
      </c>
      <c r="E156" s="1247"/>
      <c r="F156" s="1246">
        <v>93.279817917999992</v>
      </c>
      <c r="G156" s="1247"/>
      <c r="I156" s="510"/>
    </row>
    <row r="157" spans="1:10" ht="15" x14ac:dyDescent="0.25">
      <c r="A157" s="502">
        <v>75870</v>
      </c>
      <c r="B157" s="505"/>
      <c r="C157" s="1257" t="s">
        <v>2253</v>
      </c>
      <c r="D157" s="1247">
        <f>'[15]Input Sheet'!G1214</f>
        <v>73.282537300000001</v>
      </c>
      <c r="E157" s="1247"/>
      <c r="F157" s="1246">
        <v>71.075199178999995</v>
      </c>
      <c r="G157" s="1247"/>
    </row>
    <row r="158" spans="1:10" ht="15" x14ac:dyDescent="0.25">
      <c r="A158" s="502">
        <v>75840</v>
      </c>
      <c r="B158" s="505"/>
      <c r="C158" s="1257" t="s">
        <v>2254</v>
      </c>
      <c r="D158" s="1247">
        <f>'[15]Input Sheet'!G1211-E189</f>
        <v>81.004461264999989</v>
      </c>
      <c r="E158" s="1247"/>
      <c r="F158" s="1277">
        <v>74.841491516000005</v>
      </c>
      <c r="G158" s="1247"/>
    </row>
    <row r="159" spans="1:10" ht="15" x14ac:dyDescent="0.25">
      <c r="A159" s="502">
        <v>75811</v>
      </c>
      <c r="B159" s="505"/>
      <c r="C159" s="1257" t="s">
        <v>2255</v>
      </c>
      <c r="D159" s="1247">
        <f>'[15]Input Sheet'!G1208</f>
        <v>0</v>
      </c>
      <c r="E159" s="1247"/>
      <c r="F159" s="1246">
        <v>0</v>
      </c>
      <c r="G159" s="1247"/>
    </row>
    <row r="160" spans="1:10" ht="15.75" customHeight="1" x14ac:dyDescent="0.25">
      <c r="A160" s="502">
        <v>75812</v>
      </c>
      <c r="B160" s="505"/>
      <c r="C160" s="1257" t="s">
        <v>2256</v>
      </c>
      <c r="D160" s="1247">
        <f>'[15]Input Sheet'!G1209</f>
        <v>0</v>
      </c>
      <c r="E160" s="1247"/>
      <c r="F160" s="1246">
        <v>0</v>
      </c>
      <c r="G160" s="1247"/>
    </row>
    <row r="161" spans="1:7" ht="15" x14ac:dyDescent="0.25">
      <c r="A161" s="502">
        <v>75813</v>
      </c>
      <c r="B161" s="505"/>
      <c r="C161" s="1257" t="s">
        <v>2257</v>
      </c>
      <c r="D161" s="1250">
        <f>'[15]Input Sheet'!G1210</f>
        <v>2.0604421660000001</v>
      </c>
      <c r="E161" s="1247"/>
      <c r="F161" s="1246"/>
      <c r="G161" s="1247"/>
    </row>
    <row r="162" spans="1:7" ht="15" x14ac:dyDescent="0.25">
      <c r="A162" s="504"/>
      <c r="B162" s="505"/>
      <c r="C162" s="1254"/>
      <c r="D162" s="1247"/>
      <c r="E162" s="1247"/>
      <c r="F162" s="1246"/>
      <c r="G162" s="1247"/>
    </row>
    <row r="163" spans="1:7" ht="15" x14ac:dyDescent="0.25">
      <c r="A163" s="504"/>
      <c r="B163" s="505"/>
      <c r="C163" s="1256" t="s">
        <v>2258</v>
      </c>
      <c r="D163" s="1247"/>
      <c r="E163" s="1247">
        <f>SUM(D164:D184)</f>
        <v>99.604207505999995</v>
      </c>
      <c r="F163" s="1246"/>
      <c r="G163" s="1247">
        <f>SUM(F164:F184)</f>
        <v>131.58957285700001</v>
      </c>
    </row>
    <row r="164" spans="1:7" ht="15" x14ac:dyDescent="0.25">
      <c r="A164" s="502">
        <v>75610</v>
      </c>
      <c r="B164" s="505"/>
      <c r="C164" s="1257" t="s">
        <v>2259</v>
      </c>
      <c r="D164" s="1250">
        <f>'[15]Input Sheet'!G1188</f>
        <v>3.8314761929999999</v>
      </c>
      <c r="E164" s="1247"/>
      <c r="F164" s="1246">
        <v>3.3159276630000001</v>
      </c>
      <c r="G164" s="1247"/>
    </row>
    <row r="165" spans="1:7" ht="15" x14ac:dyDescent="0.25">
      <c r="A165" s="502">
        <v>75612</v>
      </c>
      <c r="B165" s="505"/>
      <c r="C165" s="1257" t="s">
        <v>2260</v>
      </c>
      <c r="D165" s="1247">
        <f>'[15]Input Sheet'!G1189</f>
        <v>1.4473762999999999</v>
      </c>
      <c r="E165" s="1247"/>
      <c r="F165" s="1246">
        <v>0.35187990000000002</v>
      </c>
      <c r="G165" s="1247"/>
    </row>
    <row r="166" spans="1:7" ht="15" x14ac:dyDescent="0.25">
      <c r="A166" s="502">
        <v>75619</v>
      </c>
      <c r="B166" s="505"/>
      <c r="C166" s="1257" t="s">
        <v>2261</v>
      </c>
      <c r="D166" s="1247">
        <f>'[15]Input Sheet'!G1191</f>
        <v>1.5085196539999999</v>
      </c>
      <c r="E166" s="1247"/>
      <c r="F166" s="1246">
        <v>1.09648437</v>
      </c>
      <c r="G166" s="1247"/>
    </row>
    <row r="167" spans="1:7" ht="15" x14ac:dyDescent="0.25">
      <c r="A167" s="502">
        <v>75620</v>
      </c>
      <c r="B167" s="505"/>
      <c r="C167" s="1257" t="s">
        <v>2262</v>
      </c>
      <c r="D167" s="1247">
        <f>'[15]Input Sheet'!G1192</f>
        <v>0.32806220000000003</v>
      </c>
      <c r="E167" s="1247"/>
      <c r="F167" s="1246">
        <v>0.23181850000000001</v>
      </c>
      <c r="G167" s="1247"/>
    </row>
    <row r="168" spans="1:7" ht="15" x14ac:dyDescent="0.25">
      <c r="A168" s="502">
        <v>75621</v>
      </c>
      <c r="B168" s="505"/>
      <c r="C168" s="1257" t="s">
        <v>2263</v>
      </c>
      <c r="D168" s="1247">
        <f>'[15]Input Sheet'!G1193</f>
        <v>1.3556E-3</v>
      </c>
      <c r="E168" s="1247"/>
      <c r="F168" s="1246">
        <v>0</v>
      </c>
      <c r="G168" s="1247"/>
    </row>
    <row r="169" spans="1:7" ht="15" x14ac:dyDescent="0.25">
      <c r="A169" s="502">
        <v>75622</v>
      </c>
      <c r="B169" s="505"/>
      <c r="C169" s="1257" t="s">
        <v>2264</v>
      </c>
      <c r="D169" s="1247">
        <f>'[15]Input Sheet'!G1194</f>
        <v>1.4341360999999999</v>
      </c>
      <c r="E169" s="1247"/>
      <c r="F169" s="1246">
        <v>5.1623058000000004</v>
      </c>
      <c r="G169" s="1247"/>
    </row>
    <row r="170" spans="1:7" ht="15" x14ac:dyDescent="0.25">
      <c r="A170" s="502">
        <v>75623</v>
      </c>
      <c r="B170" s="505"/>
      <c r="C170" s="1257" t="s">
        <v>2265</v>
      </c>
      <c r="D170" s="1247">
        <f>'[15]Input Sheet'!G1195</f>
        <v>23.507481853999998</v>
      </c>
      <c r="E170" s="1247"/>
      <c r="F170" s="1246">
        <v>19.607769711000003</v>
      </c>
      <c r="G170" s="1247"/>
    </row>
    <row r="171" spans="1:7" ht="15" x14ac:dyDescent="0.25">
      <c r="A171" s="502">
        <v>75629</v>
      </c>
      <c r="B171" s="505"/>
      <c r="C171" s="1257" t="s">
        <v>2266</v>
      </c>
      <c r="D171" s="1247">
        <f>'[15]Input Sheet'!G1196</f>
        <v>0.27944999999999998</v>
      </c>
      <c r="E171" s="1247"/>
      <c r="F171" s="1246">
        <v>0.14286750000000001</v>
      </c>
      <c r="G171" s="1247"/>
    </row>
    <row r="172" spans="1:7" ht="15" x14ac:dyDescent="0.25">
      <c r="A172" s="502">
        <v>75640</v>
      </c>
      <c r="B172" s="505"/>
      <c r="C172" s="1257" t="s">
        <v>2267</v>
      </c>
      <c r="D172" s="1247">
        <f>'[15]Input Sheet'!G1198</f>
        <v>9.7229099999999999E-2</v>
      </c>
      <c r="E172" s="1247"/>
      <c r="F172" s="1246">
        <v>9.6143300000000001E-2</v>
      </c>
      <c r="G172" s="1247"/>
    </row>
    <row r="173" spans="1:7" ht="15" x14ac:dyDescent="0.25">
      <c r="A173" s="502">
        <v>75645</v>
      </c>
      <c r="B173" s="505"/>
      <c r="C173" s="1257" t="s">
        <v>2268</v>
      </c>
      <c r="D173" s="1247">
        <f>'[15]Input Sheet'!G1199</f>
        <v>0</v>
      </c>
      <c r="E173" s="1247"/>
      <c r="F173" s="1246">
        <v>0</v>
      </c>
      <c r="G173" s="1247"/>
    </row>
    <row r="174" spans="1:7" ht="15" x14ac:dyDescent="0.25">
      <c r="A174" s="502">
        <v>74801</v>
      </c>
      <c r="B174" s="505"/>
      <c r="C174" s="1257" t="s">
        <v>2269</v>
      </c>
      <c r="D174" s="1250">
        <f>'[15]Input Sheet'!G1172</f>
        <v>3.0620893809999998</v>
      </c>
      <c r="E174" s="1247"/>
      <c r="F174" s="1246">
        <v>3.07150401</v>
      </c>
      <c r="G174" s="1247"/>
    </row>
    <row r="175" spans="1:7" ht="15" x14ac:dyDescent="0.25">
      <c r="A175" s="502">
        <v>75710</v>
      </c>
      <c r="B175" s="505"/>
      <c r="C175" s="1257" t="s">
        <v>2270</v>
      </c>
      <c r="D175" s="1247">
        <f>'[15]Input Sheet'!G1200</f>
        <v>0.13240306200000002</v>
      </c>
      <c r="E175" s="1247"/>
      <c r="F175" s="1246">
        <v>0.16614743200000001</v>
      </c>
      <c r="G175" s="1247"/>
    </row>
    <row r="176" spans="1:7" ht="15" x14ac:dyDescent="0.25">
      <c r="A176" s="502">
        <v>75720</v>
      </c>
      <c r="B176" s="505"/>
      <c r="C176" s="1257" t="s">
        <v>2271</v>
      </c>
      <c r="D176" s="1247">
        <f>'[15]Input Sheet'!G1201</f>
        <v>23.855796291000001</v>
      </c>
      <c r="E176" s="1247"/>
      <c r="F176" s="1246">
        <v>23.633425597999999</v>
      </c>
      <c r="G176" s="1247"/>
    </row>
    <row r="177" spans="1:9" ht="15" x14ac:dyDescent="0.25">
      <c r="A177" s="502">
        <v>75721</v>
      </c>
      <c r="B177" s="505"/>
      <c r="C177" s="1257" t="s">
        <v>2272</v>
      </c>
      <c r="D177" s="1247">
        <f>'[15]Input Sheet'!G1202</f>
        <v>5.1360800999999998E-2</v>
      </c>
      <c r="E177" s="1247"/>
      <c r="F177" s="1246">
        <v>5.6311634999999999E-2</v>
      </c>
      <c r="G177" s="1247"/>
    </row>
    <row r="178" spans="1:9" ht="15" x14ac:dyDescent="0.25">
      <c r="A178" s="502">
        <v>75740</v>
      </c>
      <c r="B178" s="505"/>
      <c r="C178" s="1257" t="s">
        <v>2273</v>
      </c>
      <c r="D178" s="1247">
        <f>'[15]Input Sheet'!G1203</f>
        <v>3.9411611200000003</v>
      </c>
      <c r="E178" s="1247"/>
      <c r="F178" s="1246">
        <v>1.6184734750000001</v>
      </c>
      <c r="G178" s="1247"/>
    </row>
    <row r="179" spans="1:9" ht="15" x14ac:dyDescent="0.25">
      <c r="A179" s="502">
        <v>75760</v>
      </c>
      <c r="B179" s="505"/>
      <c r="C179" s="1257" t="s">
        <v>2274</v>
      </c>
      <c r="D179" s="1247">
        <f>'[15]Input Sheet'!G1204</f>
        <v>25.454395049999999</v>
      </c>
      <c r="E179" s="1247"/>
      <c r="F179" s="1246">
        <v>65.260312763000002</v>
      </c>
      <c r="G179" s="1247"/>
    </row>
    <row r="180" spans="1:9" ht="15" x14ac:dyDescent="0.25">
      <c r="A180" s="502">
        <v>75770</v>
      </c>
      <c r="B180" s="505"/>
      <c r="C180" s="1257" t="s">
        <v>2275</v>
      </c>
      <c r="D180" s="1278">
        <f>'[15]Input Sheet'!G1205</f>
        <v>0.87634999999999996</v>
      </c>
      <c r="E180" s="1247"/>
      <c r="F180" s="1246">
        <v>0.86818479999999998</v>
      </c>
      <c r="G180" s="1247"/>
    </row>
    <row r="181" spans="1:9" ht="15" x14ac:dyDescent="0.25">
      <c r="A181" s="502">
        <v>75790</v>
      </c>
      <c r="B181" s="505"/>
      <c r="C181" s="1257" t="s">
        <v>2276</v>
      </c>
      <c r="D181" s="1247">
        <f>'[15]Input Sheet'!G1206</f>
        <v>0.48715649999999999</v>
      </c>
      <c r="E181" s="1247"/>
      <c r="F181" s="1246">
        <v>0.50156999999999996</v>
      </c>
      <c r="G181" s="1247"/>
    </row>
    <row r="182" spans="1:9" ht="15" x14ac:dyDescent="0.25">
      <c r="A182" s="502">
        <v>75850</v>
      </c>
      <c r="B182" s="505"/>
      <c r="C182" s="1257" t="s">
        <v>2277</v>
      </c>
      <c r="D182" s="1247">
        <f>'[15]Input Sheet'!G1212</f>
        <v>1.8919207</v>
      </c>
      <c r="E182" s="1247"/>
      <c r="F182" s="1246">
        <v>1.9040892</v>
      </c>
      <c r="G182" s="1247"/>
    </row>
    <row r="183" spans="1:9" ht="15" x14ac:dyDescent="0.25">
      <c r="A183" s="502">
        <v>75860</v>
      </c>
      <c r="B183" s="505"/>
      <c r="C183" s="1257" t="s">
        <v>2278</v>
      </c>
      <c r="D183" s="1247">
        <f>'[15]Input Sheet'!G1213</f>
        <v>4.3572000000000003E-3</v>
      </c>
      <c r="E183" s="1247"/>
      <c r="F183" s="1246">
        <v>4.3572000000000003E-3</v>
      </c>
      <c r="G183" s="1247"/>
    </row>
    <row r="184" spans="1:9" ht="15" x14ac:dyDescent="0.25">
      <c r="A184" s="502"/>
      <c r="B184" s="505"/>
      <c r="C184" s="509" t="s">
        <v>2279</v>
      </c>
      <c r="D184" s="1247">
        <f>+'[15]Input Sheet'!G1197</f>
        <v>7.4121303999999997</v>
      </c>
      <c r="E184" s="1247"/>
      <c r="F184" s="1246">
        <v>4.5</v>
      </c>
      <c r="G184" s="1247"/>
    </row>
    <row r="185" spans="1:9" ht="15" x14ac:dyDescent="0.25">
      <c r="A185" s="504"/>
      <c r="B185" s="505"/>
      <c r="C185" s="1249"/>
      <c r="D185" s="1247"/>
      <c r="E185" s="1247"/>
      <c r="F185" s="1246"/>
      <c r="G185" s="1247"/>
    </row>
    <row r="186" spans="1:9" ht="15" x14ac:dyDescent="0.25">
      <c r="A186" s="504"/>
      <c r="B186" s="505"/>
      <c r="C186" s="1248" t="s">
        <v>92</v>
      </c>
      <c r="D186" s="1245"/>
      <c r="E186" s="1279">
        <f>SUM(E137:E185)</f>
        <v>1706.0810431869998</v>
      </c>
      <c r="F186" s="1246"/>
      <c r="G186" s="1279">
        <f>SUM(G137:G185)</f>
        <v>1662.5453866150001</v>
      </c>
    </row>
    <row r="187" spans="1:9" ht="15" x14ac:dyDescent="0.25">
      <c r="A187" s="504"/>
      <c r="B187" s="505"/>
      <c r="C187" s="1260"/>
      <c r="D187" s="1247"/>
      <c r="E187" s="1247"/>
      <c r="F187" s="1246"/>
      <c r="G187" s="1247"/>
    </row>
    <row r="188" spans="1:9" ht="15" x14ac:dyDescent="0.25">
      <c r="A188" s="504"/>
      <c r="B188" s="505" t="s">
        <v>962</v>
      </c>
      <c r="C188" s="1248" t="s">
        <v>963</v>
      </c>
      <c r="D188" s="1247"/>
      <c r="E188" s="1247"/>
      <c r="F188" s="1246"/>
      <c r="G188" s="1247"/>
    </row>
    <row r="189" spans="1:9" ht="15" x14ac:dyDescent="0.25">
      <c r="A189" s="504"/>
      <c r="B189" s="505"/>
      <c r="C189" s="1256" t="s">
        <v>595</v>
      </c>
      <c r="D189" s="1245"/>
      <c r="E189" s="1280">
        <f>197530634/10^7</f>
        <v>19.753063399999998</v>
      </c>
      <c r="F189" s="1246"/>
      <c r="G189" s="784">
        <v>51.507953000000001</v>
      </c>
      <c r="I189" s="473"/>
    </row>
    <row r="190" spans="1:9" ht="15" x14ac:dyDescent="0.25">
      <c r="A190" s="504"/>
      <c r="B190" s="505"/>
      <c r="C190" s="1260"/>
      <c r="D190" s="1247"/>
      <c r="E190" s="1247"/>
      <c r="F190" s="1246"/>
      <c r="G190" s="1247"/>
    </row>
    <row r="191" spans="1:9" ht="15" x14ac:dyDescent="0.25">
      <c r="A191" s="504"/>
      <c r="B191" s="505">
        <v>27</v>
      </c>
      <c r="C191" s="1248" t="s">
        <v>135</v>
      </c>
      <c r="D191" s="1247"/>
      <c r="E191" s="1247"/>
      <c r="F191" s="1246"/>
      <c r="G191" s="1247"/>
    </row>
    <row r="192" spans="1:9" ht="15" x14ac:dyDescent="0.25">
      <c r="A192" s="504"/>
      <c r="B192" s="505"/>
      <c r="C192" s="1256" t="s">
        <v>964</v>
      </c>
      <c r="D192" s="1247"/>
      <c r="E192" s="1247">
        <f>SUM(D193:D207)</f>
        <v>3483.2896559770006</v>
      </c>
      <c r="F192" s="1246"/>
      <c r="G192" s="1247">
        <f>SUM(F193:F207)</f>
        <v>3520.2183973330002</v>
      </c>
    </row>
    <row r="193" spans="1:11" ht="15" x14ac:dyDescent="0.25">
      <c r="A193" s="502">
        <v>78001</v>
      </c>
      <c r="B193" s="505"/>
      <c r="C193" s="1257" t="s">
        <v>2280</v>
      </c>
      <c r="D193" s="1247">
        <f>'[15]Input Sheet'!G1279</f>
        <v>1644.754275</v>
      </c>
      <c r="E193" s="1247"/>
      <c r="F193" s="1246">
        <v>1953.4460859000001</v>
      </c>
      <c r="G193" s="1247"/>
      <c r="J193" s="513">
        <f>+D193-F193</f>
        <v>-308.69181090000006</v>
      </c>
      <c r="K193" s="513">
        <f>+J193+13</f>
        <v>-295.69181090000006</v>
      </c>
    </row>
    <row r="194" spans="1:11" ht="15" x14ac:dyDescent="0.25">
      <c r="A194" s="502">
        <v>78700</v>
      </c>
      <c r="B194" s="505"/>
      <c r="C194" s="1281" t="s">
        <v>2281</v>
      </c>
      <c r="D194" s="1247">
        <f>'[15]Input Sheet'!G1286</f>
        <v>627.01818824500003</v>
      </c>
      <c r="E194" s="1247"/>
      <c r="F194" s="1246">
        <v>611.91033731300001</v>
      </c>
      <c r="G194" s="1247"/>
      <c r="H194" s="510"/>
    </row>
    <row r="195" spans="1:11" ht="15" x14ac:dyDescent="0.25">
      <c r="A195" s="502">
        <v>78701</v>
      </c>
      <c r="B195" s="505"/>
      <c r="C195" s="1281" t="s">
        <v>2282</v>
      </c>
      <c r="D195" s="1247">
        <f>'[15]Input Sheet'!G1287</f>
        <v>0</v>
      </c>
      <c r="E195" s="1247"/>
      <c r="F195" s="1246">
        <v>0</v>
      </c>
      <c r="G195" s="1247"/>
    </row>
    <row r="196" spans="1:11" ht="15" x14ac:dyDescent="0.25">
      <c r="A196" s="502">
        <v>78702</v>
      </c>
      <c r="B196" s="505"/>
      <c r="C196" s="1257" t="s">
        <v>2283</v>
      </c>
      <c r="D196" s="1247">
        <f>'[15]Input Sheet'!G1288</f>
        <v>1.0060871</v>
      </c>
      <c r="E196" s="1247"/>
      <c r="F196" s="1246">
        <v>1.0747654</v>
      </c>
      <c r="G196" s="1247"/>
      <c r="J196" s="513">
        <f t="shared" ref="J196:J206" si="0">+D196-F196</f>
        <v>-6.867829999999997E-2</v>
      </c>
    </row>
    <row r="197" spans="1:11" ht="15" x14ac:dyDescent="0.25">
      <c r="A197" s="502">
        <v>78703</v>
      </c>
      <c r="B197" s="505"/>
      <c r="C197" s="1264" t="s">
        <v>2284</v>
      </c>
      <c r="D197" s="1247">
        <f>'[15]Input Sheet'!G1289</f>
        <v>441.47056129999999</v>
      </c>
      <c r="E197" s="1247"/>
      <c r="F197" s="1246">
        <v>388.87705510000001</v>
      </c>
      <c r="G197" s="1247"/>
      <c r="J197" s="513">
        <f t="shared" si="0"/>
        <v>52.593506199999979</v>
      </c>
    </row>
    <row r="198" spans="1:11" ht="15" x14ac:dyDescent="0.25">
      <c r="A198" s="502">
        <v>78711</v>
      </c>
      <c r="B198" s="505"/>
      <c r="C198" s="1257" t="s">
        <v>2285</v>
      </c>
      <c r="D198" s="1247">
        <f>'[15]Input Sheet'!G1290</f>
        <v>406.60696359999997</v>
      </c>
      <c r="E198" s="1247"/>
      <c r="F198" s="1246">
        <v>184.07155539999999</v>
      </c>
      <c r="G198" s="1247"/>
      <c r="J198" s="513">
        <f t="shared" si="0"/>
        <v>222.53540819999998</v>
      </c>
    </row>
    <row r="199" spans="1:11" ht="15" x14ac:dyDescent="0.25">
      <c r="A199" s="502">
        <v>78712</v>
      </c>
      <c r="B199" s="505"/>
      <c r="C199" s="1257" t="s">
        <v>2286</v>
      </c>
      <c r="D199" s="1247">
        <f>'[15]Input Sheet'!G1291</f>
        <v>0</v>
      </c>
      <c r="E199" s="1247"/>
      <c r="F199" s="1246">
        <v>0.95957979999999998</v>
      </c>
      <c r="G199" s="1247"/>
      <c r="J199" s="513">
        <f t="shared" si="0"/>
        <v>-0.95957979999999998</v>
      </c>
    </row>
    <row r="200" spans="1:11" ht="15" x14ac:dyDescent="0.25">
      <c r="A200" s="502">
        <v>78841</v>
      </c>
      <c r="B200" s="505"/>
      <c r="C200" s="1257" t="s">
        <v>2287</v>
      </c>
      <c r="D200" s="1247">
        <f>'[15]Input Sheet'!G1292</f>
        <v>0.37504346700000002</v>
      </c>
      <c r="E200" s="1247"/>
      <c r="F200" s="1246">
        <v>2.821450547</v>
      </c>
      <c r="G200" s="1729"/>
      <c r="J200" s="513">
        <f t="shared" si="0"/>
        <v>-2.4464070800000002</v>
      </c>
    </row>
    <row r="201" spans="1:11" ht="15" x14ac:dyDescent="0.25">
      <c r="A201" s="502">
        <v>78842</v>
      </c>
      <c r="B201" s="505"/>
      <c r="C201" s="1257" t="s">
        <v>2288</v>
      </c>
      <c r="D201" s="1247">
        <f>'[15]Input Sheet'!G1293</f>
        <v>0</v>
      </c>
      <c r="E201" s="1247"/>
      <c r="F201" s="1246">
        <v>0</v>
      </c>
      <c r="G201" s="1729"/>
      <c r="J201" s="513">
        <f t="shared" si="0"/>
        <v>0</v>
      </c>
    </row>
    <row r="202" spans="1:11" ht="15" x14ac:dyDescent="0.25">
      <c r="A202" s="502">
        <v>78843</v>
      </c>
      <c r="B202" s="505"/>
      <c r="C202" s="1257" t="s">
        <v>2289</v>
      </c>
      <c r="D202" s="1247">
        <f>'[15]Input Sheet'!G1294</f>
        <v>29.133103999999999</v>
      </c>
      <c r="E202" s="1247"/>
      <c r="F202" s="1246">
        <v>29.7522974</v>
      </c>
      <c r="G202" s="1729"/>
      <c r="J202" s="513">
        <f t="shared" si="0"/>
        <v>-0.61919340000000034</v>
      </c>
    </row>
    <row r="203" spans="1:11" ht="15" x14ac:dyDescent="0.25">
      <c r="A203" s="502">
        <v>78861</v>
      </c>
      <c r="B203" s="505"/>
      <c r="C203" s="1257" t="s">
        <v>2290</v>
      </c>
      <c r="D203" s="1247">
        <f>'[15]Input Sheet'!G1297</f>
        <v>1.4680500000000001</v>
      </c>
      <c r="E203" s="1247"/>
      <c r="F203" s="1246">
        <v>4.2500000000000003E-2</v>
      </c>
      <c r="G203" s="1729"/>
      <c r="J203" s="513">
        <f t="shared" si="0"/>
        <v>1.4255500000000001</v>
      </c>
    </row>
    <row r="204" spans="1:11" ht="15" x14ac:dyDescent="0.25">
      <c r="A204" s="502">
        <v>78590</v>
      </c>
      <c r="B204" s="505"/>
      <c r="C204" s="1257" t="s">
        <v>2291</v>
      </c>
      <c r="D204" s="1247">
        <f>'[15]Input Sheet'!G1283</f>
        <v>8.2844200000000007E-2</v>
      </c>
      <c r="E204" s="1247"/>
      <c r="F204" s="1246">
        <v>2.1785344000000002E-2</v>
      </c>
      <c r="G204" s="1729"/>
      <c r="J204" s="513">
        <f t="shared" si="0"/>
        <v>6.1058856000000009E-2</v>
      </c>
    </row>
    <row r="205" spans="1:11" ht="15" x14ac:dyDescent="0.25">
      <c r="A205" s="502">
        <v>78591</v>
      </c>
      <c r="B205" s="505"/>
      <c r="C205" s="1257" t="s">
        <v>2292</v>
      </c>
      <c r="D205" s="1247">
        <f>'[15]Input Sheet'!G1284</f>
        <v>5.3544999999999999E-3</v>
      </c>
      <c r="E205" s="1247"/>
      <c r="F205" s="1246">
        <v>4.1026300000000002E-2</v>
      </c>
      <c r="G205" s="1282"/>
      <c r="J205" s="513">
        <f t="shared" si="0"/>
        <v>-3.5671800000000004E-2</v>
      </c>
    </row>
    <row r="206" spans="1:11" ht="15" x14ac:dyDescent="0.25">
      <c r="A206" s="502">
        <v>78592</v>
      </c>
      <c r="B206" s="505"/>
      <c r="C206" s="1257" t="s">
        <v>2293</v>
      </c>
      <c r="D206" s="1247">
        <f>'[15]Input Sheet'!G1285</f>
        <v>0.173644416</v>
      </c>
      <c r="E206" s="1247"/>
      <c r="F206" s="1246">
        <v>1.2877899999999999E-2</v>
      </c>
      <c r="G206" s="1282"/>
      <c r="J206" s="513">
        <f t="shared" si="0"/>
        <v>0.160766516</v>
      </c>
    </row>
    <row r="207" spans="1:11" ht="15" x14ac:dyDescent="0.25">
      <c r="A207" s="1244">
        <f>'[15]Input Sheet'!D1296</f>
        <v>78845</v>
      </c>
      <c r="B207" s="505"/>
      <c r="C207" s="1244" t="s">
        <v>2294</v>
      </c>
      <c r="D207" s="1247">
        <f>'[15]Input Sheet'!G1296</f>
        <v>331.19554014899995</v>
      </c>
      <c r="E207" s="1247"/>
      <c r="F207" s="1246">
        <v>347.18708092899999</v>
      </c>
      <c r="G207" s="1247"/>
      <c r="I207" s="1267"/>
    </row>
    <row r="208" spans="1:11" ht="15" x14ac:dyDescent="0.25">
      <c r="A208" s="504"/>
      <c r="B208" s="505"/>
      <c r="C208" s="1249"/>
      <c r="D208" s="1247"/>
      <c r="E208" s="1247"/>
      <c r="F208" s="1246"/>
      <c r="G208" s="1247"/>
      <c r="H208" s="513"/>
    </row>
    <row r="209" spans="1:9" ht="15" x14ac:dyDescent="0.25">
      <c r="A209" s="504"/>
      <c r="B209" s="505"/>
      <c r="C209" s="1256" t="s">
        <v>603</v>
      </c>
      <c r="D209" s="1247"/>
      <c r="E209" s="1247">
        <f>SUM(D210:D213)</f>
        <v>9.8601437020000002</v>
      </c>
      <c r="F209" s="1246"/>
      <c r="G209" s="1247">
        <f>SUM(F210:F213)</f>
        <v>3.3193659129999999</v>
      </c>
    </row>
    <row r="210" spans="1:9" ht="15" x14ac:dyDescent="0.25">
      <c r="A210" s="502">
        <v>78864</v>
      </c>
      <c r="B210" s="505"/>
      <c r="C210" s="1257" t="s">
        <v>2295</v>
      </c>
      <c r="D210" s="1247">
        <f>'[15]Input Sheet'!G1298</f>
        <v>8.4161014339999998</v>
      </c>
      <c r="E210" s="1247"/>
      <c r="F210" s="1246">
        <v>2.3147667119999999</v>
      </c>
      <c r="G210" s="1723"/>
    </row>
    <row r="211" spans="1:9" ht="15" x14ac:dyDescent="0.25">
      <c r="A211" s="502">
        <v>78866</v>
      </c>
      <c r="B211" s="505"/>
      <c r="C211" s="1257" t="s">
        <v>2296</v>
      </c>
      <c r="D211" s="1247">
        <f>'[15]Input Sheet'!G1299</f>
        <v>1.4262653999999999</v>
      </c>
      <c r="E211" s="1247"/>
      <c r="F211" s="1246">
        <v>0.82919949999999998</v>
      </c>
      <c r="G211" s="1723"/>
    </row>
    <row r="212" spans="1:9" ht="15" x14ac:dyDescent="0.25">
      <c r="A212" s="502">
        <v>76191</v>
      </c>
      <c r="B212" s="505"/>
      <c r="C212" s="1257" t="s">
        <v>2297</v>
      </c>
      <c r="D212" s="1247">
        <f>'[15]Input Sheet'!G1250</f>
        <v>1E-4</v>
      </c>
      <c r="E212" s="1247"/>
      <c r="F212" s="1246">
        <v>0</v>
      </c>
      <c r="G212" s="1723"/>
    </row>
    <row r="213" spans="1:9" ht="15" x14ac:dyDescent="0.25">
      <c r="A213" s="502">
        <v>76192</v>
      </c>
      <c r="B213" s="505"/>
      <c r="C213" s="1257" t="s">
        <v>2298</v>
      </c>
      <c r="D213" s="1247">
        <f>'[15]Input Sheet'!G1251</f>
        <v>1.7676867999999998E-2</v>
      </c>
      <c r="E213" s="1247"/>
      <c r="F213" s="1246">
        <v>0.17539970099999999</v>
      </c>
      <c r="G213" s="1723"/>
    </row>
    <row r="214" spans="1:9" ht="15" x14ac:dyDescent="0.25">
      <c r="A214" s="504"/>
      <c r="B214" s="505"/>
      <c r="C214" s="1257"/>
      <c r="D214" s="1247"/>
      <c r="E214" s="1247"/>
      <c r="F214" s="1246"/>
      <c r="G214" s="1247"/>
    </row>
    <row r="215" spans="1:9" ht="15" x14ac:dyDescent="0.25">
      <c r="A215" s="504"/>
      <c r="B215" s="505"/>
      <c r="C215" s="1248" t="s">
        <v>92</v>
      </c>
      <c r="D215" s="1245"/>
      <c r="E215" s="1245">
        <f>E192+E209</f>
        <v>3493.1497996790008</v>
      </c>
      <c r="F215" s="1246"/>
      <c r="G215" s="1245">
        <f>G192+G209</f>
        <v>3523.5377632460004</v>
      </c>
    </row>
    <row r="216" spans="1:9" ht="15" x14ac:dyDescent="0.25">
      <c r="A216" s="504"/>
      <c r="B216" s="505"/>
      <c r="C216" s="1257"/>
      <c r="D216" s="1247"/>
      <c r="E216" s="1247"/>
      <c r="F216" s="1246"/>
      <c r="G216" s="1247"/>
    </row>
    <row r="217" spans="1:9" ht="15" x14ac:dyDescent="0.25">
      <c r="A217" s="504"/>
      <c r="B217" s="505"/>
      <c r="C217" s="1257"/>
      <c r="D217" s="1247"/>
      <c r="E217" s="1247"/>
      <c r="F217" s="1246"/>
      <c r="G217" s="1247"/>
    </row>
    <row r="218" spans="1:9" ht="15" x14ac:dyDescent="0.25">
      <c r="A218" s="504"/>
      <c r="B218" s="505">
        <v>28</v>
      </c>
      <c r="C218" s="1244" t="s">
        <v>965</v>
      </c>
      <c r="D218" s="1247"/>
      <c r="E218" s="1247"/>
      <c r="F218" s="1246"/>
      <c r="G218" s="1247"/>
    </row>
    <row r="219" spans="1:9" ht="15" x14ac:dyDescent="0.25">
      <c r="A219" s="502">
        <v>76101</v>
      </c>
      <c r="B219" s="505"/>
      <c r="C219" s="1244" t="s">
        <v>966</v>
      </c>
      <c r="D219" s="1247"/>
      <c r="E219" s="1247">
        <f>'[15]Input Sheet'!G1215</f>
        <v>1.6931202679999999</v>
      </c>
      <c r="F219" s="1246"/>
      <c r="G219" s="1247">
        <v>2.0530895999999998</v>
      </c>
      <c r="H219" s="510"/>
      <c r="I219" s="1267"/>
    </row>
    <row r="220" spans="1:9" ht="15" x14ac:dyDescent="0.25">
      <c r="A220" s="502">
        <v>71850</v>
      </c>
      <c r="B220" s="505"/>
      <c r="C220" s="1244" t="s">
        <v>967</v>
      </c>
      <c r="D220" s="1247"/>
      <c r="E220" s="1247">
        <f>'[15]Input Sheet'!G1148</f>
        <v>82.875600000000006</v>
      </c>
      <c r="F220" s="1246"/>
      <c r="G220" s="1247">
        <v>84.788999799999999</v>
      </c>
      <c r="H220" s="510"/>
      <c r="I220" s="1267"/>
    </row>
    <row r="221" spans="1:9" ht="15" x14ac:dyDescent="0.25">
      <c r="A221" s="504"/>
      <c r="B221" s="505"/>
      <c r="C221" s="1244" t="s">
        <v>2299</v>
      </c>
      <c r="D221" s="1247"/>
      <c r="E221" s="1247"/>
      <c r="F221" s="1246"/>
      <c r="G221" s="1247"/>
      <c r="H221" s="510"/>
      <c r="I221" s="1267"/>
    </row>
    <row r="222" spans="1:9" ht="15" x14ac:dyDescent="0.25">
      <c r="A222" s="504"/>
      <c r="B222" s="505"/>
      <c r="C222" s="1244" t="s">
        <v>2300</v>
      </c>
      <c r="D222" s="1247"/>
      <c r="E222" s="1247">
        <f>SUM(D223:D229)-E230</f>
        <v>1527.56842052</v>
      </c>
      <c r="F222" s="1246"/>
      <c r="G222" s="1247">
        <f>SUM(F223:F229)</f>
        <v>1330.2547763730001</v>
      </c>
      <c r="H222" s="510"/>
      <c r="I222" s="1267"/>
    </row>
    <row r="223" spans="1:9" ht="15" x14ac:dyDescent="0.25">
      <c r="A223" s="502">
        <v>74101</v>
      </c>
      <c r="B223" s="505"/>
      <c r="C223" s="1257" t="s">
        <v>2301</v>
      </c>
      <c r="D223" s="1247">
        <f>'[15]Input Sheet'!G1160</f>
        <v>6.7875669370000002</v>
      </c>
      <c r="E223" s="1247"/>
      <c r="F223" s="1246">
        <v>7.4386813629999997</v>
      </c>
      <c r="G223" s="1247"/>
      <c r="H223" s="510"/>
      <c r="I223" s="1267"/>
    </row>
    <row r="224" spans="1:9" ht="15" x14ac:dyDescent="0.25">
      <c r="A224" s="502">
        <v>74102</v>
      </c>
      <c r="B224" s="505"/>
      <c r="C224" s="1257" t="s">
        <v>2302</v>
      </c>
      <c r="D224" s="1247">
        <f>'[15]Input Sheet'!G1161</f>
        <v>0.42949159999999997</v>
      </c>
      <c r="E224" s="1247"/>
      <c r="F224" s="1246">
        <v>0.39499329999999999</v>
      </c>
      <c r="G224" s="1247"/>
      <c r="H224" s="510"/>
      <c r="I224" s="1267"/>
    </row>
    <row r="225" spans="1:9" ht="15" x14ac:dyDescent="0.25">
      <c r="A225" s="502">
        <v>74103</v>
      </c>
      <c r="B225" s="505"/>
      <c r="C225" s="1257" t="s">
        <v>2303</v>
      </c>
      <c r="D225" s="1247">
        <f>'[15]Input Sheet'!G1162</f>
        <v>1004.631824393</v>
      </c>
      <c r="E225" s="1247"/>
      <c r="F225" s="1246">
        <v>849.39416165500006</v>
      </c>
      <c r="G225" s="1247"/>
      <c r="H225" s="510"/>
      <c r="I225" s="1267"/>
    </row>
    <row r="226" spans="1:9" ht="15" x14ac:dyDescent="0.25">
      <c r="A226" s="502">
        <v>74201</v>
      </c>
      <c r="B226" s="505"/>
      <c r="C226" s="1257" t="s">
        <v>2304</v>
      </c>
      <c r="D226" s="1247">
        <f>'[15]Input Sheet'!G1163</f>
        <v>2.9991495E-2</v>
      </c>
      <c r="E226" s="1247"/>
      <c r="F226" s="1246">
        <v>8.4200670999999991E-2</v>
      </c>
      <c r="G226" s="1247"/>
      <c r="H226" s="510"/>
      <c r="I226" s="1267"/>
    </row>
    <row r="227" spans="1:9" ht="15" x14ac:dyDescent="0.25">
      <c r="A227" s="502">
        <v>74202</v>
      </c>
      <c r="B227" s="505"/>
      <c r="C227" s="1257" t="s">
        <v>2305</v>
      </c>
      <c r="D227" s="1247">
        <f>+'[15]Input Sheet'!G1164</f>
        <v>0</v>
      </c>
      <c r="E227" s="1247"/>
      <c r="F227" s="1246">
        <v>0</v>
      </c>
      <c r="G227" s="1247"/>
      <c r="H227" s="510"/>
      <c r="I227" s="1267"/>
    </row>
    <row r="228" spans="1:9" ht="15" x14ac:dyDescent="0.25">
      <c r="A228" s="502">
        <v>74601</v>
      </c>
      <c r="B228" s="505"/>
      <c r="C228" s="1257" t="s">
        <v>2305</v>
      </c>
      <c r="D228" s="1247">
        <f>'[15]Input Sheet'!G1167</f>
        <v>510.52484705900002</v>
      </c>
      <c r="E228" s="1247"/>
      <c r="F228" s="1246">
        <v>467.22046085400001</v>
      </c>
      <c r="G228" s="1247"/>
      <c r="H228" s="510"/>
      <c r="I228" s="1267"/>
    </row>
    <row r="229" spans="1:9" ht="15" x14ac:dyDescent="0.25">
      <c r="A229" s="502">
        <v>74602</v>
      </c>
      <c r="B229" s="505"/>
      <c r="C229" s="1257" t="s">
        <v>2306</v>
      </c>
      <c r="D229" s="1247">
        <f>'[15]Input Sheet'!G1168</f>
        <v>5.164699036</v>
      </c>
      <c r="E229" s="1247"/>
      <c r="F229" s="1246">
        <v>5.7222785299999996</v>
      </c>
      <c r="G229" s="1247"/>
      <c r="H229" s="510"/>
      <c r="I229" s="1267"/>
    </row>
    <row r="230" spans="1:9" ht="15" x14ac:dyDescent="0.25">
      <c r="A230" s="504"/>
      <c r="B230" s="505"/>
      <c r="C230" s="1257" t="s">
        <v>2307</v>
      </c>
      <c r="D230" s="1247"/>
      <c r="E230" s="1247"/>
      <c r="F230" s="1246"/>
      <c r="G230" s="1247"/>
      <c r="H230" s="510"/>
      <c r="I230" s="1267"/>
    </row>
    <row r="231" spans="1:9" ht="15" x14ac:dyDescent="0.25">
      <c r="A231" s="504"/>
      <c r="B231" s="505"/>
      <c r="C231" s="1244" t="s">
        <v>616</v>
      </c>
      <c r="D231" s="1247"/>
      <c r="E231" s="1247">
        <f>SUM(D232:D235)</f>
        <v>0.76706291599999998</v>
      </c>
      <c r="F231" s="1246"/>
      <c r="G231" s="1247">
        <f>SUM(F232:F235)</f>
        <v>1.14329141</v>
      </c>
      <c r="H231" s="510"/>
      <c r="I231" s="1267"/>
    </row>
    <row r="232" spans="1:9" ht="15" x14ac:dyDescent="0.25">
      <c r="A232" s="502">
        <v>74501</v>
      </c>
      <c r="B232" s="505"/>
      <c r="C232" s="1257" t="s">
        <v>2308</v>
      </c>
      <c r="D232" s="1247">
        <f>'[15]Input Sheet'!G1165</f>
        <v>0.37199351600000002</v>
      </c>
      <c r="E232" s="1247"/>
      <c r="F232" s="1246">
        <v>1.0897000100000001</v>
      </c>
      <c r="G232" s="1247"/>
      <c r="H232" s="510"/>
      <c r="I232" s="1267"/>
    </row>
    <row r="233" spans="1:9" ht="15" x14ac:dyDescent="0.25">
      <c r="A233" s="502">
        <v>74502</v>
      </c>
      <c r="B233" s="505"/>
      <c r="C233" s="1257" t="s">
        <v>2309</v>
      </c>
      <c r="D233" s="1247">
        <f>'[15]Input Sheet'!G1166</f>
        <v>5.5999999999999995E-4</v>
      </c>
      <c r="E233" s="1247"/>
      <c r="F233" s="1246">
        <v>1.5533999999999999E-3</v>
      </c>
      <c r="G233" s="1723"/>
      <c r="H233" s="510"/>
      <c r="I233" s="1267"/>
    </row>
    <row r="234" spans="1:9" ht="15" x14ac:dyDescent="0.25">
      <c r="A234" s="502">
        <v>74701</v>
      </c>
      <c r="B234" s="505"/>
      <c r="C234" s="1257" t="s">
        <v>2310</v>
      </c>
      <c r="D234" s="1247">
        <f>'[15]Input Sheet'!G1169</f>
        <v>0</v>
      </c>
      <c r="E234" s="1247"/>
      <c r="F234" s="1246">
        <v>0</v>
      </c>
      <c r="G234" s="1723"/>
      <c r="H234" s="510"/>
      <c r="I234" s="1267"/>
    </row>
    <row r="235" spans="1:9" ht="15" x14ac:dyDescent="0.25">
      <c r="A235" s="502">
        <v>74703</v>
      </c>
      <c r="B235" s="505"/>
      <c r="C235" s="1257" t="s">
        <v>2311</v>
      </c>
      <c r="D235" s="1247">
        <f>'[15]Input Sheet'!G1170</f>
        <v>0.39450940000000001</v>
      </c>
      <c r="E235" s="1247"/>
      <c r="F235" s="1246">
        <v>5.2038000000000001E-2</v>
      </c>
      <c r="G235" s="1723"/>
      <c r="H235" s="510"/>
      <c r="I235" s="1267"/>
    </row>
    <row r="236" spans="1:9" ht="15" x14ac:dyDescent="0.25">
      <c r="A236" s="504"/>
      <c r="B236" s="505"/>
      <c r="C236" s="1257"/>
      <c r="D236" s="1247"/>
      <c r="E236" s="1247"/>
      <c r="F236" s="1246"/>
      <c r="G236" s="1247"/>
      <c r="H236" s="510"/>
      <c r="I236" s="1267"/>
    </row>
    <row r="237" spans="1:9" ht="15" x14ac:dyDescent="0.25">
      <c r="A237" s="504"/>
      <c r="B237" s="505"/>
      <c r="C237" s="1244" t="s">
        <v>971</v>
      </c>
      <c r="D237" s="1247"/>
      <c r="E237" s="1247">
        <f>SUM(D238:D239)</f>
        <v>26.908011381000001</v>
      </c>
      <c r="F237" s="1246"/>
      <c r="G237" s="1247">
        <f>SUM(F238:F239)</f>
        <v>32.901833240000002</v>
      </c>
      <c r="H237" s="510"/>
      <c r="I237" s="1267"/>
    </row>
    <row r="238" spans="1:9" ht="15" x14ac:dyDescent="0.25">
      <c r="A238" s="502">
        <v>76104</v>
      </c>
      <c r="B238" s="505"/>
      <c r="C238" s="1257" t="s">
        <v>2312</v>
      </c>
      <c r="D238" s="1247">
        <f>'[15]Input Sheet'!G1217</f>
        <v>26.906871981000002</v>
      </c>
      <c r="E238" s="1247"/>
      <c r="F238" s="1246">
        <v>32.82549624</v>
      </c>
      <c r="G238" s="1247"/>
      <c r="H238" s="510"/>
      <c r="I238" s="1267"/>
    </row>
    <row r="239" spans="1:9" ht="15" x14ac:dyDescent="0.25">
      <c r="A239" s="502">
        <v>76230</v>
      </c>
      <c r="B239" s="505"/>
      <c r="C239" s="1257" t="s">
        <v>2313</v>
      </c>
      <c r="D239" s="1247">
        <f>'[15]Input Sheet'!G1254</f>
        <v>1.1394E-3</v>
      </c>
      <c r="E239" s="1247"/>
      <c r="F239" s="1246">
        <v>7.6337000000000002E-2</v>
      </c>
      <c r="G239" s="1247"/>
      <c r="H239" s="510"/>
      <c r="I239" s="1267"/>
    </row>
    <row r="240" spans="1:9" ht="15" x14ac:dyDescent="0.25">
      <c r="A240" s="504"/>
      <c r="B240" s="505"/>
      <c r="C240" s="1257"/>
      <c r="D240" s="1247"/>
      <c r="E240" s="1247"/>
      <c r="F240" s="1246"/>
      <c r="G240" s="1247"/>
      <c r="H240" s="510"/>
      <c r="I240" s="1267"/>
    </row>
    <row r="241" spans="1:9" ht="15" x14ac:dyDescent="0.25">
      <c r="A241" s="502">
        <v>76102</v>
      </c>
      <c r="B241" s="505"/>
      <c r="C241" s="1244" t="s">
        <v>972</v>
      </c>
      <c r="D241" s="1247"/>
      <c r="E241" s="1247">
        <f>'[15]Input Sheet'!G1216</f>
        <v>52.151190462000002</v>
      </c>
      <c r="F241" s="1246"/>
      <c r="G241" s="1247">
        <v>26.019772459999999</v>
      </c>
      <c r="H241" s="510"/>
      <c r="I241" s="1267"/>
    </row>
    <row r="242" spans="1:9" ht="15" x14ac:dyDescent="0.25">
      <c r="A242" s="504"/>
      <c r="B242" s="505"/>
      <c r="C242" s="1244" t="s">
        <v>397</v>
      </c>
      <c r="D242" s="1247"/>
      <c r="E242" s="1247"/>
      <c r="F242" s="1246"/>
      <c r="G242" s="1247"/>
      <c r="H242" s="510"/>
      <c r="I242" s="1267"/>
    </row>
    <row r="243" spans="1:9" ht="15" x14ac:dyDescent="0.25">
      <c r="A243" s="504"/>
      <c r="B243" s="505"/>
      <c r="C243" s="1244" t="s">
        <v>2314</v>
      </c>
      <c r="D243" s="1247"/>
      <c r="E243" s="1247">
        <f>SUM(D244:D246)</f>
        <v>28.635460676000001</v>
      </c>
      <c r="F243" s="1246"/>
      <c r="G243" s="1247">
        <f>SUM(F244:F246)</f>
        <v>10.939209062</v>
      </c>
      <c r="H243" s="510"/>
      <c r="I243" s="1267"/>
    </row>
    <row r="244" spans="1:9" ht="15" x14ac:dyDescent="0.25">
      <c r="A244" s="502">
        <v>71600</v>
      </c>
      <c r="B244" s="505"/>
      <c r="C244" s="1257" t="s">
        <v>2315</v>
      </c>
      <c r="D244" s="1247">
        <f>'[15]Input Sheet'!G1146</f>
        <v>29.496597624</v>
      </c>
      <c r="E244" s="1247"/>
      <c r="F244" s="1246">
        <v>10.349144006</v>
      </c>
      <c r="G244" s="1247"/>
      <c r="H244" s="510"/>
      <c r="I244" s="1267"/>
    </row>
    <row r="245" spans="1:9" ht="15" x14ac:dyDescent="0.25">
      <c r="A245" s="502">
        <f>'[15]Input Sheet'!D1147</f>
        <v>71601</v>
      </c>
      <c r="B245" s="505"/>
      <c r="C245" s="1257" t="str">
        <f>'[15]Input Sheet'!E1147</f>
        <v>Consumption Lubricants &amp; consumables-Fi</v>
      </c>
      <c r="D245" s="1250">
        <f>'[15]Input Sheet'!G1147</f>
        <v>0</v>
      </c>
      <c r="E245" s="1247"/>
      <c r="F245" s="1246">
        <v>3.4363600000000001E-2</v>
      </c>
      <c r="G245" s="1247"/>
      <c r="H245" s="510"/>
      <c r="I245" s="1267"/>
    </row>
    <row r="246" spans="1:9" ht="15" x14ac:dyDescent="0.25">
      <c r="A246" s="502">
        <v>79120</v>
      </c>
      <c r="B246" s="505"/>
      <c r="C246" s="1257" t="s">
        <v>2316</v>
      </c>
      <c r="D246" s="1247">
        <f>'[15]Input Sheet'!G1303</f>
        <v>-0.86113694800000007</v>
      </c>
      <c r="E246" s="1247"/>
      <c r="F246" s="1246">
        <v>0.55570145599999998</v>
      </c>
      <c r="G246" s="1247"/>
      <c r="H246" s="510"/>
      <c r="I246" s="1267"/>
    </row>
    <row r="247" spans="1:9" ht="15" x14ac:dyDescent="0.25">
      <c r="A247" s="502">
        <v>79561</v>
      </c>
      <c r="B247" s="505"/>
      <c r="C247" s="1257" t="s">
        <v>2193</v>
      </c>
      <c r="D247" s="1247">
        <f>IF('[15]Input Sheet'!G1312&gt;0,'[15]Input Sheet'!G1312,0)</f>
        <v>0</v>
      </c>
      <c r="E247" s="1247">
        <f>+D247</f>
        <v>0</v>
      </c>
      <c r="F247" s="1246">
        <v>0</v>
      </c>
      <c r="G247" s="1247">
        <f>F247</f>
        <v>0</v>
      </c>
      <c r="H247" s="510"/>
      <c r="I247" s="1267"/>
    </row>
    <row r="248" spans="1:9" ht="15" x14ac:dyDescent="0.25">
      <c r="A248" s="504"/>
      <c r="B248" s="505"/>
      <c r="C248" s="1257"/>
      <c r="D248" s="1247"/>
      <c r="E248" s="1247"/>
      <c r="F248" s="1246"/>
      <c r="G248" s="1247"/>
      <c r="H248" s="510"/>
      <c r="I248" s="1267"/>
    </row>
    <row r="249" spans="1:9" ht="15" x14ac:dyDescent="0.25">
      <c r="A249" s="502">
        <v>76160</v>
      </c>
      <c r="B249" s="505"/>
      <c r="C249" s="1244" t="s">
        <v>626</v>
      </c>
      <c r="D249" s="1247"/>
      <c r="E249" s="1247">
        <f>'[15]Input Sheet'!G1239</f>
        <v>0.17906525300000001</v>
      </c>
      <c r="F249" s="1246"/>
      <c r="G249" s="1247">
        <v>5.9982177000000005E-2</v>
      </c>
      <c r="H249" s="510"/>
      <c r="I249" s="1267"/>
    </row>
    <row r="250" spans="1:9" ht="15" x14ac:dyDescent="0.25">
      <c r="A250" s="502"/>
      <c r="B250" s="505"/>
      <c r="C250" s="1244"/>
      <c r="D250" s="1247"/>
      <c r="E250" s="1247"/>
      <c r="F250" s="1246"/>
      <c r="G250" s="1247"/>
      <c r="H250" s="510"/>
      <c r="I250" s="1267"/>
    </row>
    <row r="251" spans="1:9" ht="15" x14ac:dyDescent="0.25">
      <c r="A251" s="504"/>
      <c r="B251" s="505"/>
      <c r="C251" s="1244" t="s">
        <v>974</v>
      </c>
      <c r="D251" s="1247"/>
      <c r="E251" s="1247">
        <f>SUM(D252:D254)</f>
        <v>38.445306602000002</v>
      </c>
      <c r="F251" s="1246"/>
      <c r="G251" s="1247">
        <f>SUM(F252:F254)</f>
        <v>29.028856476999998</v>
      </c>
      <c r="H251" s="510"/>
      <c r="I251" s="1267"/>
    </row>
    <row r="252" spans="1:9" ht="15" x14ac:dyDescent="0.25">
      <c r="A252" s="502">
        <v>76121</v>
      </c>
      <c r="B252" s="505"/>
      <c r="C252" s="1257" t="s">
        <v>2317</v>
      </c>
      <c r="D252" s="1247">
        <f>'[15]Input Sheet'!G1221</f>
        <v>1.9680866399999999</v>
      </c>
      <c r="E252" s="1247"/>
      <c r="F252" s="1246">
        <v>1.9999030579999999</v>
      </c>
      <c r="G252" s="1247"/>
      <c r="H252" s="510"/>
      <c r="I252" s="1267"/>
    </row>
    <row r="253" spans="1:9" ht="15" x14ac:dyDescent="0.25">
      <c r="A253" s="502">
        <v>76124</v>
      </c>
      <c r="B253" s="505"/>
      <c r="C253" s="1257" t="s">
        <v>2318</v>
      </c>
      <c r="D253" s="1247">
        <f>'[15]Input Sheet'!G1224</f>
        <v>12.59657666</v>
      </c>
      <c r="E253" s="1247"/>
      <c r="F253" s="1246">
        <v>12.744220387999999</v>
      </c>
      <c r="G253" s="1247"/>
      <c r="H253" s="510"/>
      <c r="I253" s="1267"/>
    </row>
    <row r="254" spans="1:9" ht="15" x14ac:dyDescent="0.25">
      <c r="A254" s="502">
        <v>76123</v>
      </c>
      <c r="B254" s="505"/>
      <c r="C254" s="1257" t="s">
        <v>2319</v>
      </c>
      <c r="D254" s="1247">
        <f>'[15]Input Sheet'!G1223</f>
        <v>23.880643302000003</v>
      </c>
      <c r="E254" s="1247"/>
      <c r="F254" s="1246">
        <v>14.284733031</v>
      </c>
      <c r="G254" s="1247"/>
      <c r="H254" s="510"/>
      <c r="I254" s="1267"/>
    </row>
    <row r="255" spans="1:9" ht="15" x14ac:dyDescent="0.25">
      <c r="A255" s="504"/>
      <c r="B255" s="505"/>
      <c r="C255" s="1257"/>
      <c r="D255" s="1247"/>
      <c r="E255" s="1247"/>
      <c r="F255" s="1246"/>
      <c r="G255" s="1247"/>
      <c r="H255" s="510"/>
      <c r="I255" s="1267"/>
    </row>
    <row r="256" spans="1:9" ht="15" x14ac:dyDescent="0.25">
      <c r="A256" s="502">
        <v>71215</v>
      </c>
      <c r="B256" s="505"/>
      <c r="C256" s="1244" t="s">
        <v>627</v>
      </c>
      <c r="D256" s="1247"/>
      <c r="E256" s="1247">
        <f>'[15]Input Sheet'!G1128</f>
        <v>0</v>
      </c>
      <c r="F256" s="1246"/>
      <c r="G256" s="1247">
        <v>0</v>
      </c>
      <c r="H256" s="510"/>
      <c r="I256" s="1267"/>
    </row>
    <row r="257" spans="1:17" ht="15" x14ac:dyDescent="0.25">
      <c r="A257" s="502"/>
      <c r="B257" s="505"/>
      <c r="C257" s="1244" t="s">
        <v>2320</v>
      </c>
      <c r="D257" s="1247"/>
      <c r="E257" s="1247">
        <f>D259+D258</f>
        <v>18.280990943999999</v>
      </c>
      <c r="F257" s="1247"/>
      <c r="G257" s="1247">
        <f>F258+F259</f>
        <v>5.531187482</v>
      </c>
      <c r="H257" s="510"/>
      <c r="I257" s="1267"/>
    </row>
    <row r="258" spans="1:17" ht="15" x14ac:dyDescent="0.25">
      <c r="A258" s="502">
        <v>78883</v>
      </c>
      <c r="B258" s="505"/>
      <c r="C258" s="1264" t="s">
        <v>628</v>
      </c>
      <c r="D258" s="1247">
        <f>'[15]Input Sheet'!G1301</f>
        <v>1.466586068</v>
      </c>
      <c r="E258" s="1247"/>
      <c r="F258" s="1247">
        <v>2.8280633289999999</v>
      </c>
      <c r="G258" s="1247"/>
      <c r="H258" s="510"/>
      <c r="I258" s="1267"/>
    </row>
    <row r="259" spans="1:17" s="499" customFormat="1" ht="15" x14ac:dyDescent="0.25">
      <c r="A259" s="514">
        <v>78882</v>
      </c>
      <c r="B259" s="515"/>
      <c r="C259" s="1283" t="s">
        <v>2321</v>
      </c>
      <c r="D259" s="1284">
        <f>'[15]Input Sheet'!G1300</f>
        <v>16.814404875999998</v>
      </c>
      <c r="E259" s="1284"/>
      <c r="F259" s="1285">
        <v>2.7031241530000001</v>
      </c>
      <c r="G259" s="1247"/>
      <c r="H259" s="510"/>
      <c r="I259" s="1267"/>
      <c r="Q259" s="1164"/>
    </row>
    <row r="260" spans="1:17" s="499" customFormat="1" ht="15" x14ac:dyDescent="0.25">
      <c r="A260" s="514"/>
      <c r="B260" s="515"/>
      <c r="C260" s="1283"/>
      <c r="D260" s="1284"/>
      <c r="E260" s="1284"/>
      <c r="F260" s="1285"/>
      <c r="G260" s="1247"/>
      <c r="H260" s="510"/>
      <c r="I260" s="1267"/>
      <c r="Q260" s="1164"/>
    </row>
    <row r="261" spans="1:17" ht="26.25" x14ac:dyDescent="0.25">
      <c r="A261" s="502">
        <v>79726</v>
      </c>
      <c r="B261" s="505"/>
      <c r="C261" s="1286" t="s">
        <v>629</v>
      </c>
      <c r="D261" s="1247"/>
      <c r="E261" s="1247">
        <f>'[15]Input Sheet'!G1321</f>
        <v>10.342248376999999</v>
      </c>
      <c r="F261" s="1246"/>
      <c r="G261" s="1247">
        <v>3.7052174999999998</v>
      </c>
      <c r="H261" s="510"/>
      <c r="I261" s="1267"/>
    </row>
    <row r="262" spans="1:17" ht="15" x14ac:dyDescent="0.25">
      <c r="A262" s="502">
        <v>79420</v>
      </c>
      <c r="B262" s="505"/>
      <c r="C262" s="1244" t="s">
        <v>630</v>
      </c>
      <c r="D262" s="1247"/>
      <c r="E262" s="1247">
        <f>'[15]Input Sheet'!G1308</f>
        <v>10.746824050000001</v>
      </c>
      <c r="F262" s="1246"/>
      <c r="G262" s="1247">
        <v>106.753225925</v>
      </c>
      <c r="H262" s="510"/>
      <c r="I262" s="1267"/>
    </row>
    <row r="263" spans="1:17" ht="15" x14ac:dyDescent="0.25">
      <c r="A263" s="502">
        <v>78844</v>
      </c>
      <c r="B263" s="505"/>
      <c r="C263" s="1244" t="s">
        <v>2322</v>
      </c>
      <c r="D263" s="1247"/>
      <c r="E263" s="1247">
        <f>'[15]Input Sheet'!G1295</f>
        <v>0</v>
      </c>
      <c r="F263" s="1246"/>
      <c r="G263" s="1247">
        <v>0</v>
      </c>
      <c r="H263" s="510"/>
      <c r="I263" s="1267"/>
    </row>
    <row r="264" spans="1:17" ht="15" x14ac:dyDescent="0.25">
      <c r="A264" s="502">
        <v>76170</v>
      </c>
      <c r="B264" s="505"/>
      <c r="C264" s="1257" t="s">
        <v>2323</v>
      </c>
      <c r="D264" s="1247"/>
      <c r="E264" s="1247">
        <f>'[15]Input Sheet'!G1248</f>
        <v>142.994912196</v>
      </c>
      <c r="F264" s="1246"/>
      <c r="G264" s="1246">
        <v>114.965909913</v>
      </c>
      <c r="H264" s="510"/>
      <c r="I264" s="1267"/>
    </row>
    <row r="265" spans="1:17" ht="15" x14ac:dyDescent="0.25">
      <c r="A265" s="502">
        <v>76166</v>
      </c>
      <c r="B265" s="505"/>
      <c r="C265" s="1257" t="s">
        <v>639</v>
      </c>
      <c r="D265" s="1247"/>
      <c r="E265" s="1247">
        <f>'[15]Input Sheet'!G1244</f>
        <v>74.362762492000002</v>
      </c>
      <c r="F265" s="1246"/>
      <c r="G265" s="1246">
        <v>56.342442502999994</v>
      </c>
      <c r="H265" s="510"/>
      <c r="I265" s="1267"/>
    </row>
    <row r="266" spans="1:17" ht="15" x14ac:dyDescent="0.25">
      <c r="A266" s="502">
        <v>76139</v>
      </c>
      <c r="B266" s="505"/>
      <c r="C266" s="1257" t="s">
        <v>632</v>
      </c>
      <c r="D266" s="1247"/>
      <c r="E266" s="1247">
        <f>'[15]Input Sheet'!G1231</f>
        <v>35.735643924000001</v>
      </c>
      <c r="F266" s="1246"/>
      <c r="G266" s="1246">
        <v>28.391812718000001</v>
      </c>
      <c r="H266" s="510"/>
      <c r="I266" s="1267"/>
    </row>
    <row r="267" spans="1:17" ht="15" x14ac:dyDescent="0.25">
      <c r="A267" s="502"/>
      <c r="B267" s="505"/>
      <c r="C267" s="1244"/>
      <c r="D267" s="1247"/>
      <c r="E267" s="1247"/>
      <c r="F267" s="1246"/>
      <c r="G267" s="1247"/>
      <c r="H267" s="510"/>
      <c r="I267" s="1267"/>
    </row>
    <row r="268" spans="1:17" ht="15" x14ac:dyDescent="0.25">
      <c r="A268" s="504"/>
      <c r="B268" s="505"/>
      <c r="C268" s="1244" t="s">
        <v>978</v>
      </c>
      <c r="D268" s="1247"/>
      <c r="E268" s="1247">
        <f>SUM(D269:D308)</f>
        <v>74.081385744000002</v>
      </c>
      <c r="F268" s="1246"/>
      <c r="G268" s="1247">
        <f>SUM(F269:F308)</f>
        <v>159.04222197999999</v>
      </c>
      <c r="H268" s="510"/>
    </row>
    <row r="269" spans="1:17" ht="15" x14ac:dyDescent="0.25">
      <c r="A269" s="502">
        <v>76110</v>
      </c>
      <c r="B269" s="505"/>
      <c r="C269" s="1257" t="s">
        <v>2324</v>
      </c>
      <c r="D269" s="1245">
        <f>'[15]Input Sheet'!G1218</f>
        <v>-2.7416499999999999E-4</v>
      </c>
      <c r="E269" s="1247"/>
      <c r="F269" s="1246">
        <v>2.7416499999999999E-4</v>
      </c>
      <c r="G269" s="1247"/>
      <c r="H269" s="510"/>
      <c r="I269" s="1267"/>
    </row>
    <row r="270" spans="1:17" ht="15" x14ac:dyDescent="0.25">
      <c r="A270" s="502">
        <v>76111</v>
      </c>
      <c r="B270" s="505"/>
      <c r="C270" s="1257" t="s">
        <v>2325</v>
      </c>
      <c r="D270" s="1287">
        <f>'[15]Input Sheet'!G1219</f>
        <v>2.3177989700000001</v>
      </c>
      <c r="E270" s="1247"/>
      <c r="F270" s="1246">
        <v>1.882533273</v>
      </c>
      <c r="G270" s="1247"/>
      <c r="H270" s="510"/>
      <c r="I270" s="1267"/>
    </row>
    <row r="271" spans="1:17" ht="15" x14ac:dyDescent="0.25">
      <c r="A271" s="502">
        <v>76112</v>
      </c>
      <c r="B271" s="505"/>
      <c r="C271" s="1257" t="s">
        <v>2326</v>
      </c>
      <c r="D271" s="1247">
        <f>'[15]Input Sheet'!G1220</f>
        <v>0.13053919999999999</v>
      </c>
      <c r="E271" s="1247"/>
      <c r="F271" s="1246">
        <v>0.13970197600000001</v>
      </c>
      <c r="G271" s="1247"/>
      <c r="H271" s="510"/>
      <c r="I271" s="1267"/>
    </row>
    <row r="272" spans="1:17" ht="15" x14ac:dyDescent="0.25">
      <c r="A272" s="502">
        <v>76127</v>
      </c>
      <c r="B272" s="505"/>
      <c r="C272" s="1257" t="s">
        <v>2327</v>
      </c>
      <c r="D272" s="1247">
        <f>'[15]Input Sheet'!G1225</f>
        <v>6.8999999999999999E-3</v>
      </c>
      <c r="E272" s="1247"/>
      <c r="F272" s="1246">
        <v>3.5400000000000002E-3</v>
      </c>
      <c r="G272" s="1247"/>
      <c r="H272" s="510"/>
      <c r="I272" s="1267"/>
    </row>
    <row r="273" spans="1:9" ht="15" x14ac:dyDescent="0.25">
      <c r="A273" s="502">
        <v>76128</v>
      </c>
      <c r="B273" s="505"/>
      <c r="C273" s="1257" t="s">
        <v>2328</v>
      </c>
      <c r="D273" s="1247">
        <f>'[15]Input Sheet'!G1226</f>
        <v>7.0853299999999994E-2</v>
      </c>
      <c r="E273" s="1247"/>
      <c r="F273" s="1246">
        <v>8.5492200000000004E-2</v>
      </c>
      <c r="G273" s="1247"/>
      <c r="H273" s="510"/>
      <c r="I273" s="1267"/>
    </row>
    <row r="274" spans="1:9" ht="15" x14ac:dyDescent="0.25">
      <c r="A274" s="502">
        <v>76131</v>
      </c>
      <c r="B274" s="505"/>
      <c r="C274" s="1257" t="s">
        <v>2329</v>
      </c>
      <c r="D274" s="1247">
        <f>'[15]Input Sheet'!G1227</f>
        <v>0.14938319999999999</v>
      </c>
      <c r="E274" s="1247"/>
      <c r="F274" s="1246">
        <v>0.13736019999999999</v>
      </c>
      <c r="G274" s="1247"/>
      <c r="H274" s="510"/>
      <c r="I274" s="1267"/>
    </row>
    <row r="275" spans="1:9" ht="15" x14ac:dyDescent="0.25">
      <c r="A275" s="502">
        <v>76132</v>
      </c>
      <c r="B275" s="505"/>
      <c r="C275" s="1257" t="s">
        <v>2330</v>
      </c>
      <c r="D275" s="1247">
        <f>'[15]Input Sheet'!G1228</f>
        <v>8.6365570999999992</v>
      </c>
      <c r="E275" s="1247"/>
      <c r="F275" s="1246">
        <v>6.6277878899999996</v>
      </c>
      <c r="G275" s="1247"/>
      <c r="H275" s="510"/>
      <c r="I275" s="1267"/>
    </row>
    <row r="276" spans="1:9" ht="15" x14ac:dyDescent="0.25">
      <c r="A276" s="502">
        <v>76136</v>
      </c>
      <c r="B276" s="505"/>
      <c r="C276" s="1257" t="s">
        <v>2331</v>
      </c>
      <c r="D276" s="1247">
        <f>'[15]Input Sheet'!G1229</f>
        <v>1.600109869</v>
      </c>
      <c r="E276" s="1247"/>
      <c r="F276" s="1246">
        <v>1.4109247380000001</v>
      </c>
      <c r="G276" s="1247"/>
      <c r="H276" s="510"/>
      <c r="I276" s="1267"/>
    </row>
    <row r="277" spans="1:9" ht="15" x14ac:dyDescent="0.25">
      <c r="A277" s="502">
        <v>76138</v>
      </c>
      <c r="B277" s="505"/>
      <c r="C277" s="1257" t="s">
        <v>2332</v>
      </c>
      <c r="D277" s="1247">
        <f>'[15]Input Sheet'!G1230</f>
        <v>9.8873600000000006E-2</v>
      </c>
      <c r="E277" s="1247"/>
      <c r="F277" s="1246">
        <v>4.6421299999999999E-2</v>
      </c>
      <c r="G277" s="1247"/>
      <c r="H277" s="510"/>
      <c r="I277" s="1267"/>
    </row>
    <row r="278" spans="1:9" ht="15" x14ac:dyDescent="0.25">
      <c r="A278" s="502">
        <v>76140</v>
      </c>
      <c r="B278" s="505"/>
      <c r="C278" t="s">
        <v>2333</v>
      </c>
      <c r="D278" s="1246">
        <f>'[15]Input Sheet'!G1232</f>
        <v>0</v>
      </c>
      <c r="E278" s="1247"/>
      <c r="F278" s="1246">
        <v>0</v>
      </c>
      <c r="G278" s="1247"/>
      <c r="H278" s="510"/>
      <c r="I278" s="1267"/>
    </row>
    <row r="279" spans="1:9" ht="15" x14ac:dyDescent="0.25">
      <c r="A279" s="502">
        <v>76151</v>
      </c>
      <c r="B279" s="505"/>
      <c r="C279" s="1257" t="s">
        <v>2334</v>
      </c>
      <c r="D279" s="1247">
        <f>'[15]Input Sheet'!G1233</f>
        <v>6.7680251360000003</v>
      </c>
      <c r="E279" s="1247"/>
      <c r="F279" s="1246">
        <v>7.2895059120000001</v>
      </c>
      <c r="G279" s="1247"/>
      <c r="H279" s="510"/>
      <c r="I279" s="1267"/>
    </row>
    <row r="280" spans="1:9" ht="15" x14ac:dyDescent="0.25">
      <c r="A280" s="502">
        <v>76152</v>
      </c>
      <c r="B280" s="505"/>
      <c r="C280" s="1257" t="s">
        <v>2335</v>
      </c>
      <c r="D280" s="1247">
        <f>'[15]Input Sheet'!G1234</f>
        <v>8.9861800000000006E-2</v>
      </c>
      <c r="E280" s="1247"/>
      <c r="F280" s="1246">
        <v>8.7672466000000004E-2</v>
      </c>
      <c r="G280" s="1247"/>
      <c r="H280" s="510"/>
      <c r="I280" s="1267"/>
    </row>
    <row r="281" spans="1:9" ht="15" x14ac:dyDescent="0.25">
      <c r="A281" s="502">
        <v>76153</v>
      </c>
      <c r="B281" s="505"/>
      <c r="C281" s="1257" t="s">
        <v>2336</v>
      </c>
      <c r="D281" s="1247">
        <f>'[15]Input Sheet'!G1235</f>
        <v>4.3472671529999998</v>
      </c>
      <c r="E281" s="1247"/>
      <c r="F281" s="1246">
        <v>3.7705378139999999</v>
      </c>
      <c r="G281" s="1247"/>
      <c r="H281" s="510"/>
      <c r="I281" s="1267"/>
    </row>
    <row r="282" spans="1:9" ht="15" x14ac:dyDescent="0.25">
      <c r="A282" s="502">
        <v>76154</v>
      </c>
      <c r="B282" s="505"/>
      <c r="C282" s="1257" t="s">
        <v>2337</v>
      </c>
      <c r="D282" s="1247">
        <f>'[15]Input Sheet'!G1236</f>
        <v>1.9191988059999998</v>
      </c>
      <c r="E282" s="1247"/>
      <c r="F282" s="1246">
        <v>2.1221093670000002</v>
      </c>
      <c r="G282" s="1247"/>
      <c r="H282" s="510"/>
      <c r="I282" s="1267"/>
    </row>
    <row r="283" spans="1:9" ht="15" x14ac:dyDescent="0.25">
      <c r="A283" s="502">
        <v>76155</v>
      </c>
      <c r="B283" s="505"/>
      <c r="C283" s="1257" t="s">
        <v>2338</v>
      </c>
      <c r="D283" s="1247">
        <f>'[15]Input Sheet'!G1237</f>
        <v>0.864329876</v>
      </c>
      <c r="E283" s="1247"/>
      <c r="F283" s="1246">
        <v>0.36926077999999996</v>
      </c>
      <c r="G283" s="1247"/>
      <c r="H283" s="510"/>
      <c r="I283" s="1267"/>
    </row>
    <row r="284" spans="1:9" ht="15" x14ac:dyDescent="0.25">
      <c r="A284" s="502">
        <v>76158</v>
      </c>
      <c r="B284" s="505"/>
      <c r="C284" s="1257" t="s">
        <v>2339</v>
      </c>
      <c r="D284" s="1247">
        <f>'[15]Input Sheet'!G1238</f>
        <v>10.289067153</v>
      </c>
      <c r="E284" s="1247"/>
      <c r="F284" s="1246">
        <v>6.8005507079999994</v>
      </c>
      <c r="G284" s="1247"/>
      <c r="H284" s="510"/>
      <c r="I284" s="1267"/>
    </row>
    <row r="285" spans="1:9" ht="15" x14ac:dyDescent="0.25">
      <c r="A285" s="502">
        <v>76161</v>
      </c>
      <c r="B285" s="505"/>
      <c r="C285" s="1257" t="s">
        <v>2340</v>
      </c>
      <c r="D285" s="1247">
        <f>'[15]Input Sheet'!G1240</f>
        <v>2.9579999999999998E-4</v>
      </c>
      <c r="E285" s="1247"/>
      <c r="F285" s="1246">
        <v>5.2800000000000004E-4</v>
      </c>
      <c r="G285" s="1247"/>
      <c r="H285" s="510"/>
      <c r="I285" s="1267"/>
    </row>
    <row r="286" spans="1:9" ht="15" x14ac:dyDescent="0.25">
      <c r="A286" s="502">
        <v>76162</v>
      </c>
      <c r="B286" s="505"/>
      <c r="C286" s="1257" t="s">
        <v>2341</v>
      </c>
      <c r="D286" s="1247">
        <f>'[15]Input Sheet'!G1241</f>
        <v>2.1568145800000003</v>
      </c>
      <c r="E286" s="1247"/>
      <c r="F286" s="1246">
        <v>1.9724860359999998</v>
      </c>
      <c r="G286" s="1247"/>
      <c r="H286" s="510"/>
      <c r="I286" s="1267"/>
    </row>
    <row r="287" spans="1:9" ht="15" x14ac:dyDescent="0.25">
      <c r="A287" s="502">
        <v>76164</v>
      </c>
      <c r="B287" s="505"/>
      <c r="C287" s="1257" t="s">
        <v>2342</v>
      </c>
      <c r="D287" s="1247">
        <f>'[15]Input Sheet'!G1242</f>
        <v>0</v>
      </c>
      <c r="E287" s="1247"/>
      <c r="F287" s="1246">
        <v>3.5258400000000002E-2</v>
      </c>
      <c r="G287" s="1247"/>
      <c r="H287" s="510"/>
      <c r="I287" s="1267"/>
    </row>
    <row r="288" spans="1:9" ht="15" x14ac:dyDescent="0.25">
      <c r="A288" s="502">
        <v>76165</v>
      </c>
      <c r="B288" s="505"/>
      <c r="C288" s="1257" t="s">
        <v>2343</v>
      </c>
      <c r="D288" s="1247">
        <f>'[15]Input Sheet'!G1243</f>
        <v>0.84438601899999999</v>
      </c>
      <c r="E288" s="1247"/>
      <c r="F288" s="1246">
        <v>0.43090522999999997</v>
      </c>
      <c r="G288" s="1247"/>
      <c r="H288" s="510"/>
      <c r="I288" s="1267"/>
    </row>
    <row r="289" spans="1:9" ht="15" x14ac:dyDescent="0.25">
      <c r="A289" s="502">
        <v>76167</v>
      </c>
      <c r="B289" s="505"/>
      <c r="C289" s="1257" t="s">
        <v>2344</v>
      </c>
      <c r="D289" s="1247">
        <f>'[15]Input Sheet'!G1245</f>
        <v>0.32574509200000001</v>
      </c>
      <c r="E289" s="1247"/>
      <c r="F289" s="1246">
        <v>0.14110120200000001</v>
      </c>
      <c r="G289" s="1247"/>
      <c r="H289" s="510"/>
      <c r="I289" s="1267"/>
    </row>
    <row r="290" spans="1:9" ht="15" x14ac:dyDescent="0.25">
      <c r="A290" s="502">
        <v>76168</v>
      </c>
      <c r="B290" s="505"/>
      <c r="C290" s="1257" t="s">
        <v>2345</v>
      </c>
      <c r="D290" s="1247">
        <f>'[15]Input Sheet'!G1246</f>
        <v>9.6000000000000002E-5</v>
      </c>
      <c r="E290" s="1247"/>
      <c r="F290" s="1246">
        <v>0</v>
      </c>
      <c r="G290" s="1247"/>
      <c r="H290" s="510"/>
      <c r="I290" s="1267"/>
    </row>
    <row r="291" spans="1:9" ht="15" x14ac:dyDescent="0.25">
      <c r="A291" s="502">
        <v>76169</v>
      </c>
      <c r="B291" s="505"/>
      <c r="C291" s="1257" t="s">
        <v>2346</v>
      </c>
      <c r="D291" s="1247">
        <f>'[15]Input Sheet'!G1247</f>
        <v>5.770841968</v>
      </c>
      <c r="E291" s="1247"/>
      <c r="F291" s="1246">
        <v>6.0454760329999999</v>
      </c>
      <c r="G291" s="1247"/>
      <c r="H291" s="510"/>
      <c r="I291" s="1267"/>
    </row>
    <row r="292" spans="1:9" ht="15" x14ac:dyDescent="0.25">
      <c r="A292" s="502">
        <v>76190</v>
      </c>
      <c r="B292" s="505"/>
      <c r="C292" s="1257" t="s">
        <v>2347</v>
      </c>
      <c r="D292" s="1247">
        <f>'[15]Input Sheet'!G1249</f>
        <v>0.15751580400000001</v>
      </c>
      <c r="E292" s="1247"/>
      <c r="F292" s="1246">
        <v>0.15128040000000001</v>
      </c>
      <c r="G292" s="1247"/>
      <c r="H292" s="510"/>
      <c r="I292" s="1267"/>
    </row>
    <row r="293" spans="1:9" ht="15" x14ac:dyDescent="0.25">
      <c r="A293" s="502">
        <v>76193</v>
      </c>
      <c r="B293" s="505"/>
      <c r="C293" s="1257" t="s">
        <v>2348</v>
      </c>
      <c r="D293" s="1247">
        <f>'[15]Input Sheet'!G1252</f>
        <v>13.457875</v>
      </c>
      <c r="E293" s="1247"/>
      <c r="F293" s="1246">
        <v>2.369475</v>
      </c>
      <c r="G293" s="1247"/>
      <c r="H293" s="510"/>
      <c r="I293" s="1267"/>
    </row>
    <row r="294" spans="1:9" ht="15" x14ac:dyDescent="0.25">
      <c r="A294" s="502">
        <v>76220</v>
      </c>
      <c r="B294" s="505"/>
      <c r="C294" s="1257" t="s">
        <v>2349</v>
      </c>
      <c r="D294" s="1247">
        <f>'[15]Input Sheet'!G1253</f>
        <v>8.3846830000000011E-2</v>
      </c>
      <c r="E294" s="1247"/>
      <c r="F294" s="1246">
        <v>3.7155390000000003E-2</v>
      </c>
      <c r="G294" s="1247"/>
      <c r="H294" s="510"/>
      <c r="I294" s="1267"/>
    </row>
    <row r="295" spans="1:9" ht="15" x14ac:dyDescent="0.25">
      <c r="A295" s="502">
        <v>76240</v>
      </c>
      <c r="B295" s="505"/>
      <c r="C295" s="1257" t="s">
        <v>2350</v>
      </c>
      <c r="D295" s="1247">
        <f>'[15]Input Sheet'!G1255</f>
        <v>7.4666289999999996E-2</v>
      </c>
      <c r="E295" s="1247"/>
      <c r="F295" s="1246">
        <v>7.2569717000000006E-2</v>
      </c>
      <c r="G295" s="1247"/>
      <c r="H295" s="510"/>
      <c r="I295" s="1267"/>
    </row>
    <row r="296" spans="1:9" ht="15" x14ac:dyDescent="0.25">
      <c r="A296" s="502">
        <v>76250</v>
      </c>
      <c r="B296" s="505"/>
      <c r="C296" s="1257" t="s">
        <v>2351</v>
      </c>
      <c r="D296" s="1247">
        <f>'[15]Input Sheet'!G1256</f>
        <v>1.7034999999999999E-3</v>
      </c>
      <c r="E296" s="1247"/>
      <c r="F296" s="1246">
        <v>1.0334999999999999E-3</v>
      </c>
      <c r="G296" s="1247"/>
      <c r="H296" s="510"/>
      <c r="I296" s="1267"/>
    </row>
    <row r="297" spans="1:9" ht="15" x14ac:dyDescent="0.25">
      <c r="A297" s="502">
        <v>76260</v>
      </c>
      <c r="B297" s="505"/>
      <c r="C297" s="1257" t="s">
        <v>2352</v>
      </c>
      <c r="D297" s="1247">
        <f>'[15]Input Sheet'!G1257</f>
        <v>7.9380428319999989</v>
      </c>
      <c r="E297" s="1247"/>
      <c r="F297" s="1246">
        <v>8.9694932269999992</v>
      </c>
      <c r="G297" s="1247"/>
      <c r="H297" s="510"/>
      <c r="I297" s="1267"/>
    </row>
    <row r="298" spans="1:9" ht="15" x14ac:dyDescent="0.25">
      <c r="A298" s="502">
        <v>76270</v>
      </c>
      <c r="B298" s="505"/>
      <c r="C298" s="1257" t="s">
        <v>2353</v>
      </c>
      <c r="D298" s="1247">
        <f>'[15]Input Sheet'!G1258</f>
        <v>5.9936131999999996E-2</v>
      </c>
      <c r="E298" s="1247"/>
      <c r="F298" s="1246">
        <v>6.710555E-2</v>
      </c>
      <c r="G298" s="1247"/>
      <c r="H298" s="510"/>
      <c r="I298" s="1267"/>
    </row>
    <row r="299" spans="1:9" ht="15" x14ac:dyDescent="0.25">
      <c r="A299" s="502">
        <v>76280</v>
      </c>
      <c r="B299" s="505"/>
      <c r="C299" s="1257" t="s">
        <v>2354</v>
      </c>
      <c r="D299" s="1247">
        <f>('[15]Input Sheet'!G1259)</f>
        <v>0.16468705</v>
      </c>
      <c r="E299" s="1247"/>
      <c r="F299" s="1246">
        <v>0.78310000000000002</v>
      </c>
      <c r="G299" s="1247"/>
      <c r="H299" s="510"/>
      <c r="I299" s="1267"/>
    </row>
    <row r="300" spans="1:9" ht="15" x14ac:dyDescent="0.25">
      <c r="A300" s="502">
        <v>76299</v>
      </c>
      <c r="B300" s="505"/>
      <c r="C300" s="1257" t="s">
        <v>2355</v>
      </c>
      <c r="D300" s="1247">
        <f>'[15]Input Sheet'!G1260</f>
        <v>5.3791538719999998</v>
      </c>
      <c r="E300" s="1247"/>
      <c r="F300" s="1246">
        <v>9.5570624330000005</v>
      </c>
      <c r="G300" s="1247"/>
      <c r="H300" s="510"/>
      <c r="I300" s="1267"/>
    </row>
    <row r="301" spans="1:9" ht="15" x14ac:dyDescent="0.25">
      <c r="A301" s="502">
        <v>79510</v>
      </c>
      <c r="B301" s="505"/>
      <c r="C301" s="1257" t="s">
        <v>2356</v>
      </c>
      <c r="D301" s="1247">
        <f>'[15]Input Sheet'!G1309</f>
        <v>0</v>
      </c>
      <c r="E301" s="1247"/>
      <c r="F301" s="1246">
        <v>0</v>
      </c>
      <c r="G301" s="1247"/>
      <c r="H301" s="510"/>
      <c r="I301" s="1267"/>
    </row>
    <row r="302" spans="1:9" ht="15" x14ac:dyDescent="0.25">
      <c r="A302" s="502">
        <v>79530</v>
      </c>
      <c r="B302" s="505"/>
      <c r="C302" s="1257" t="s">
        <v>2357</v>
      </c>
      <c r="D302" s="1247">
        <f>'[15]Input Sheet'!G1310</f>
        <v>0</v>
      </c>
      <c r="E302" s="1247"/>
      <c r="F302" s="1246">
        <v>0.02</v>
      </c>
      <c r="G302" s="1247"/>
      <c r="H302" s="510"/>
      <c r="I302" s="1267"/>
    </row>
    <row r="303" spans="1:9" ht="15" x14ac:dyDescent="0.25">
      <c r="A303" s="514">
        <v>79531</v>
      </c>
      <c r="B303" s="515"/>
      <c r="C303" s="1283" t="s">
        <v>2358</v>
      </c>
      <c r="D303" s="1284">
        <f>'[15]Input Sheet'!G1311</f>
        <v>0.39</v>
      </c>
      <c r="E303" s="1247"/>
      <c r="F303" s="1246">
        <v>6.4737147000000004</v>
      </c>
      <c r="G303" s="1247"/>
      <c r="H303" s="510"/>
      <c r="I303" s="1267"/>
    </row>
    <row r="304" spans="1:9" ht="15" x14ac:dyDescent="0.25">
      <c r="A304" s="502">
        <v>79580</v>
      </c>
      <c r="B304" s="505"/>
      <c r="C304" s="1257" t="s">
        <v>2359</v>
      </c>
      <c r="D304" s="1247">
        <f>'[15]Input Sheet'!G1318</f>
        <v>0</v>
      </c>
      <c r="E304" s="1247"/>
      <c r="F304" s="1246">
        <v>0</v>
      </c>
      <c r="G304" s="1247"/>
      <c r="H304" s="510"/>
      <c r="I304" s="1267"/>
    </row>
    <row r="305" spans="1:11" ht="15" x14ac:dyDescent="0.25">
      <c r="A305" s="502">
        <v>79721</v>
      </c>
      <c r="B305" s="505"/>
      <c r="C305" s="1257" t="s">
        <v>2360</v>
      </c>
      <c r="D305" s="1247">
        <f>'[15]Input Sheet'!G1319</f>
        <v>0</v>
      </c>
      <c r="E305" s="1247"/>
      <c r="F305" s="1246">
        <v>0</v>
      </c>
      <c r="G305" s="1247"/>
      <c r="H305" s="510"/>
      <c r="I305" s="1267"/>
    </row>
    <row r="306" spans="1:11" ht="15" x14ac:dyDescent="0.25">
      <c r="A306" s="502">
        <v>79725</v>
      </c>
      <c r="B306" s="505"/>
      <c r="C306" s="1257" t="s">
        <v>2361</v>
      </c>
      <c r="D306" s="1247">
        <f>'[15]Input Sheet'!G1320</f>
        <v>-1.2712022999999999E-2</v>
      </c>
      <c r="E306" s="1247"/>
      <c r="F306" s="1246">
        <v>2.3763230000000001E-3</v>
      </c>
      <c r="G306" s="1247"/>
      <c r="H306" s="510"/>
      <c r="I306" s="1267"/>
    </row>
    <row r="307" spans="1:11" ht="15" x14ac:dyDescent="0.25">
      <c r="A307" s="504">
        <v>77730</v>
      </c>
      <c r="B307" s="505"/>
      <c r="C307" s="1257" t="s">
        <v>2362</v>
      </c>
      <c r="D307" s="1247">
        <f>'[15]Input Sheet'!G1273</f>
        <v>0</v>
      </c>
      <c r="E307" s="1247"/>
      <c r="F307" s="1246">
        <v>91.138428050000002</v>
      </c>
      <c r="G307" s="1247"/>
      <c r="H307" s="510"/>
      <c r="I307" s="1267"/>
    </row>
    <row r="308" spans="1:11" ht="15" x14ac:dyDescent="0.25">
      <c r="A308" s="504">
        <v>78520</v>
      </c>
      <c r="B308" s="505"/>
      <c r="C308" s="1264" t="s">
        <v>2363</v>
      </c>
      <c r="D308" s="1247">
        <f>+'[15]Input Sheet'!G1281</f>
        <v>0</v>
      </c>
      <c r="E308" s="1247"/>
      <c r="F308" s="1246">
        <v>0</v>
      </c>
      <c r="G308" s="1247"/>
      <c r="H308" s="510"/>
      <c r="I308" s="1267"/>
    </row>
    <row r="309" spans="1:11" ht="15" x14ac:dyDescent="0.25">
      <c r="A309" s="504">
        <v>79727</v>
      </c>
      <c r="B309" s="505"/>
      <c r="C309" s="163" t="s">
        <v>2364</v>
      </c>
      <c r="D309" s="1246"/>
      <c r="E309" s="1247">
        <f>+'[15]Input Sheet'!G1322</f>
        <v>0</v>
      </c>
      <c r="F309" s="1246"/>
      <c r="G309" s="1247">
        <v>0</v>
      </c>
      <c r="H309" s="510"/>
      <c r="I309" s="1267"/>
    </row>
    <row r="310" spans="1:11" ht="15" x14ac:dyDescent="0.25">
      <c r="A310" s="502">
        <v>79572</v>
      </c>
      <c r="B310" s="505"/>
      <c r="C310" s="1264" t="s">
        <v>2365</v>
      </c>
      <c r="D310" s="1247"/>
      <c r="E310" s="1247">
        <f>'[15]Input Sheet'!G1317</f>
        <v>0.29646620099999998</v>
      </c>
      <c r="F310" s="1246"/>
      <c r="G310" s="1247">
        <v>26.625149478000001</v>
      </c>
      <c r="H310" s="510"/>
    </row>
    <row r="311" spans="1:11" ht="15" x14ac:dyDescent="0.25">
      <c r="A311" s="504">
        <v>79570</v>
      </c>
      <c r="B311" s="505"/>
      <c r="C311" s="1264" t="s">
        <v>2366</v>
      </c>
      <c r="D311" s="1247"/>
      <c r="E311" s="1247">
        <f>'[15]Input Sheet'!G1313</f>
        <v>5.5115138110000004</v>
      </c>
      <c r="F311" s="1246"/>
      <c r="G311" s="1247">
        <v>1.337666536</v>
      </c>
      <c r="H311" s="510"/>
      <c r="K311" s="510"/>
    </row>
    <row r="312" spans="1:11" ht="15" x14ac:dyDescent="0.25">
      <c r="A312" s="504">
        <f>'[15]Input Sheet'!D1315</f>
        <v>79571</v>
      </c>
      <c r="B312" s="505"/>
      <c r="C312" s="1264" t="str">
        <f>'[15]Input Sheet'!E1315</f>
        <v>Deviation Settlement Mechanism (DSM) Charges</v>
      </c>
      <c r="D312" s="1247"/>
      <c r="E312" s="1247">
        <f>IF('[15]Input Sheet'!G1315&gt;0,'[15]Input Sheet'!G1315,0)</f>
        <v>179.08925009999999</v>
      </c>
      <c r="F312" s="1246"/>
      <c r="G312" s="1247">
        <v>0</v>
      </c>
      <c r="H312" s="510"/>
    </row>
    <row r="313" spans="1:11" ht="15" x14ac:dyDescent="0.25">
      <c r="A313" s="504"/>
      <c r="B313" s="505"/>
      <c r="C313" s="1244"/>
      <c r="D313" s="1247"/>
      <c r="E313" s="1247"/>
      <c r="F313" s="1246"/>
      <c r="G313" s="1247"/>
      <c r="H313" s="510"/>
    </row>
    <row r="314" spans="1:11" ht="15" x14ac:dyDescent="0.25">
      <c r="A314" s="504"/>
      <c r="B314" s="505"/>
      <c r="C314" s="1244" t="s">
        <v>2367</v>
      </c>
      <c r="D314" s="1247"/>
      <c r="E314" s="1247"/>
      <c r="F314" s="1246"/>
      <c r="G314" s="1247"/>
      <c r="H314" s="510"/>
    </row>
    <row r="315" spans="1:11" ht="15" x14ac:dyDescent="0.25">
      <c r="A315" s="502">
        <v>76122</v>
      </c>
      <c r="B315" s="505"/>
      <c r="C315" s="1244" t="s">
        <v>2368</v>
      </c>
      <c r="D315" s="1247"/>
      <c r="E315" s="1288">
        <f>'[15]Input Sheet'!G1222-E316-E317-E318</f>
        <v>0.64500000000000002</v>
      </c>
      <c r="F315" s="1246"/>
      <c r="G315" s="1247">
        <v>0.6349999999999999</v>
      </c>
      <c r="H315" s="510"/>
      <c r="J315" s="516"/>
    </row>
    <row r="316" spans="1:11" ht="15" x14ac:dyDescent="0.25">
      <c r="A316" s="504"/>
      <c r="B316" s="505"/>
      <c r="C316" s="1244" t="s">
        <v>2369</v>
      </c>
      <c r="D316" s="1247"/>
      <c r="E316" s="1289"/>
      <c r="F316" s="1246"/>
      <c r="G316" s="1247"/>
      <c r="H316" s="510"/>
    </row>
    <row r="317" spans="1:11" ht="15" x14ac:dyDescent="0.25">
      <c r="A317" s="504"/>
      <c r="B317" s="505"/>
      <c r="C317" s="1244" t="s">
        <v>2370</v>
      </c>
      <c r="D317" s="1247"/>
      <c r="E317" s="1289">
        <f>158894/10^7</f>
        <v>1.5889400000000001E-2</v>
      </c>
      <c r="F317" s="1246"/>
      <c r="G317" s="1247">
        <v>2.7669699999999998E-2</v>
      </c>
      <c r="H317" s="510"/>
    </row>
    <row r="318" spans="1:11" ht="15" x14ac:dyDescent="0.25">
      <c r="A318" s="504"/>
      <c r="B318" s="505"/>
      <c r="C318" s="1244" t="s">
        <v>2371</v>
      </c>
      <c r="D318" s="1247"/>
      <c r="E318" s="1289">
        <f>1175550/10^7</f>
        <v>0.11755500000000001</v>
      </c>
      <c r="F318" s="1246"/>
      <c r="G318" s="1247">
        <v>0.1197</v>
      </c>
      <c r="H318" s="510"/>
    </row>
    <row r="319" spans="1:11" ht="15" x14ac:dyDescent="0.25">
      <c r="A319" s="504"/>
      <c r="B319" s="505"/>
      <c r="C319" s="1244" t="s">
        <v>92</v>
      </c>
      <c r="D319" s="1245"/>
      <c r="E319" s="1245">
        <f>SUM(E219:E318)</f>
        <v>2311.4436803170001</v>
      </c>
      <c r="F319" s="1246"/>
      <c r="G319" s="1245">
        <f>SUM(G219:G318)</f>
        <v>2020.6670143339998</v>
      </c>
      <c r="H319" s="510"/>
    </row>
    <row r="320" spans="1:11" x14ac:dyDescent="0.2">
      <c r="A320" s="504"/>
      <c r="B320" s="516"/>
      <c r="C320" s="1257"/>
      <c r="D320" s="1247"/>
      <c r="E320" s="1247"/>
      <c r="F320" s="1246"/>
      <c r="G320" s="1247"/>
    </row>
    <row r="321" spans="1:13" ht="15" x14ac:dyDescent="0.25">
      <c r="A321" s="504"/>
      <c r="B321" s="516"/>
      <c r="C321" s="1290" t="s">
        <v>2372</v>
      </c>
      <c r="D321" s="1247"/>
      <c r="E321" s="1247">
        <f>SUM(D322:D337)</f>
        <v>2842.8386249599998</v>
      </c>
      <c r="F321" s="1246"/>
      <c r="G321" s="1247">
        <f>SUM(F322:F337)</f>
        <v>2788.0829005650003</v>
      </c>
      <c r="K321" s="502">
        <v>77101</v>
      </c>
      <c r="M321" s="425"/>
    </row>
    <row r="322" spans="1:13" x14ac:dyDescent="0.2">
      <c r="A322" s="502">
        <v>77101</v>
      </c>
      <c r="B322" s="516"/>
      <c r="C322" s="1257" t="s">
        <v>2373</v>
      </c>
      <c r="D322" s="1247">
        <f>'[15]Input Sheet'!G1261</f>
        <v>0</v>
      </c>
      <c r="E322" s="1247"/>
      <c r="F322" s="1246">
        <v>0</v>
      </c>
      <c r="G322" s="1247"/>
      <c r="K322" s="502">
        <v>77102</v>
      </c>
    </row>
    <row r="323" spans="1:13" x14ac:dyDescent="0.2">
      <c r="A323" s="502">
        <v>77102</v>
      </c>
      <c r="B323" s="516"/>
      <c r="C323" s="1257" t="s">
        <v>2374</v>
      </c>
      <c r="D323" s="1247">
        <f>'[15]Input Sheet'!G1262</f>
        <v>4.2543571</v>
      </c>
      <c r="E323" s="1247"/>
      <c r="F323" s="1246">
        <v>4.9164796500000003</v>
      </c>
      <c r="G323" s="1247"/>
      <c r="I323" s="513"/>
      <c r="K323" s="502">
        <v>77201</v>
      </c>
    </row>
    <row r="324" spans="1:13" x14ac:dyDescent="0.2">
      <c r="A324" s="502">
        <v>77201</v>
      </c>
      <c r="B324" s="516"/>
      <c r="C324" s="1257" t="s">
        <v>2375</v>
      </c>
      <c r="D324" s="1247">
        <f>'[15]Input Sheet'!G1263</f>
        <v>36.6522316</v>
      </c>
      <c r="E324" s="1247"/>
      <c r="F324" s="1246">
        <v>36.730686130000002</v>
      </c>
      <c r="G324" s="1247"/>
      <c r="I324" s="513"/>
      <c r="K324" s="502">
        <v>77202</v>
      </c>
    </row>
    <row r="325" spans="1:13" x14ac:dyDescent="0.2">
      <c r="A325" s="502">
        <v>77202</v>
      </c>
      <c r="B325" s="516"/>
      <c r="C325" s="1257" t="s">
        <v>2376</v>
      </c>
      <c r="D325" s="1247">
        <f>'[15]Input Sheet'!G1264</f>
        <v>30.064805493000001</v>
      </c>
      <c r="E325" s="1247"/>
      <c r="F325" s="1246">
        <v>80.609219471000003</v>
      </c>
      <c r="G325" s="1247"/>
      <c r="I325" s="513"/>
      <c r="K325" s="502">
        <v>77301</v>
      </c>
    </row>
    <row r="326" spans="1:13" x14ac:dyDescent="0.2">
      <c r="A326" s="502">
        <v>77301</v>
      </c>
      <c r="B326" s="516"/>
      <c r="C326" s="1257" t="s">
        <v>2377</v>
      </c>
      <c r="D326" s="1247">
        <f>'[15]Input Sheet'!G1265</f>
        <v>140.86410847900001</v>
      </c>
      <c r="E326" s="1247"/>
      <c r="F326" s="1246">
        <v>140.11701600999999</v>
      </c>
      <c r="G326" s="1247"/>
      <c r="I326" s="513"/>
      <c r="K326" s="502">
        <v>77401</v>
      </c>
    </row>
    <row r="327" spans="1:13" x14ac:dyDescent="0.2">
      <c r="A327" s="502">
        <v>77401</v>
      </c>
      <c r="B327" s="516"/>
      <c r="C327" s="1257" t="s">
        <v>2378</v>
      </c>
      <c r="D327" s="1247">
        <f>'[15]Input Sheet'!G1266</f>
        <v>38.984386724000004</v>
      </c>
      <c r="E327" s="1247"/>
      <c r="F327" s="1246">
        <v>90.175761065999993</v>
      </c>
      <c r="G327" s="1247"/>
      <c r="I327" s="513"/>
      <c r="K327" s="502">
        <v>77402</v>
      </c>
    </row>
    <row r="328" spans="1:13" x14ac:dyDescent="0.2">
      <c r="A328" s="502">
        <v>77402</v>
      </c>
      <c r="B328" s="516"/>
      <c r="C328" s="1257" t="s">
        <v>2379</v>
      </c>
      <c r="D328" s="1247">
        <f>'[15]Input Sheet'!G1267</f>
        <v>45.486765513999998</v>
      </c>
      <c r="E328" s="1247"/>
      <c r="F328" s="1246">
        <v>25.896668139999999</v>
      </c>
      <c r="G328" s="1247"/>
      <c r="I328" s="513"/>
      <c r="K328" s="502">
        <v>77501</v>
      </c>
    </row>
    <row r="329" spans="1:13" x14ac:dyDescent="0.2">
      <c r="A329" s="502">
        <v>77501</v>
      </c>
      <c r="B329" s="516"/>
      <c r="C329" s="1257" t="s">
        <v>2380</v>
      </c>
      <c r="D329" s="1247">
        <f>'[15]Input Sheet'!G1268</f>
        <v>2246.0957598569998</v>
      </c>
      <c r="E329" s="1247"/>
      <c r="F329" s="1246">
        <v>2110.4067571810001</v>
      </c>
      <c r="G329" s="1247"/>
      <c r="I329" s="513"/>
      <c r="K329" s="502">
        <v>77502</v>
      </c>
    </row>
    <row r="330" spans="1:13" x14ac:dyDescent="0.2">
      <c r="A330" s="502">
        <v>77502</v>
      </c>
      <c r="B330" s="516"/>
      <c r="C330" s="1257" t="s">
        <v>2381</v>
      </c>
      <c r="D330" s="1247">
        <f>'[15]Input Sheet'!G1269</f>
        <v>0</v>
      </c>
      <c r="E330" s="1247"/>
      <c r="F330" s="1246">
        <v>0</v>
      </c>
      <c r="G330" s="1247"/>
      <c r="I330" s="513"/>
      <c r="K330" s="502">
        <v>77601</v>
      </c>
    </row>
    <row r="331" spans="1:13" x14ac:dyDescent="0.2">
      <c r="A331" s="502">
        <v>77601</v>
      </c>
      <c r="B331" s="516"/>
      <c r="C331" s="1257" t="s">
        <v>2382</v>
      </c>
      <c r="D331" s="1247">
        <f>'[15]Input Sheet'!G1270</f>
        <v>26.877271499999999</v>
      </c>
      <c r="E331" s="1247"/>
      <c r="F331" s="1246">
        <v>23.650782100000001</v>
      </c>
      <c r="G331" s="1247"/>
      <c r="I331" s="513"/>
      <c r="K331" s="502">
        <v>77701</v>
      </c>
    </row>
    <row r="332" spans="1:13" x14ac:dyDescent="0.2">
      <c r="A332" s="502">
        <v>77701</v>
      </c>
      <c r="B332" s="516"/>
      <c r="C332" s="1257" t="s">
        <v>2383</v>
      </c>
      <c r="D332" s="1247">
        <f>'[15]Input Sheet'!G1271</f>
        <v>4.67155627</v>
      </c>
      <c r="E332" s="1247"/>
      <c r="F332" s="1246">
        <v>3.439493889</v>
      </c>
      <c r="G332" s="1247"/>
      <c r="I332" s="513"/>
      <c r="K332" s="502">
        <v>77801</v>
      </c>
    </row>
    <row r="333" spans="1:13" x14ac:dyDescent="0.2">
      <c r="A333" s="502">
        <v>77801</v>
      </c>
      <c r="B333" s="516"/>
      <c r="C333" s="1257" t="s">
        <v>2384</v>
      </c>
      <c r="D333" s="1247">
        <f>'[15]Input Sheet'!G1274</f>
        <v>2.5508960119999999</v>
      </c>
      <c r="E333" s="1247"/>
      <c r="F333" s="1246">
        <v>2.9205247019999998</v>
      </c>
      <c r="G333" s="1247"/>
      <c r="I333" s="513"/>
      <c r="K333" s="502">
        <v>77901</v>
      </c>
    </row>
    <row r="334" spans="1:13" x14ac:dyDescent="0.2">
      <c r="A334" s="502">
        <v>77901</v>
      </c>
      <c r="B334" s="516"/>
      <c r="C334" s="1257" t="s">
        <v>2385</v>
      </c>
      <c r="D334" s="1247">
        <f>'[15]Input Sheet'!G1275</f>
        <v>7.0349580230000006</v>
      </c>
      <c r="E334" s="1247"/>
      <c r="F334" s="1246">
        <v>5.9599343310000004</v>
      </c>
      <c r="G334" s="1247"/>
      <c r="I334" s="513"/>
      <c r="K334" s="502">
        <v>77902</v>
      </c>
    </row>
    <row r="335" spans="1:13" x14ac:dyDescent="0.2">
      <c r="A335" s="502">
        <v>77902</v>
      </c>
      <c r="B335" s="516"/>
      <c r="C335" s="1257" t="s">
        <v>2386</v>
      </c>
      <c r="D335" s="1247">
        <f>'[15]Input Sheet'!G1276</f>
        <v>3.7538632000000001</v>
      </c>
      <c r="E335" s="1247"/>
      <c r="F335" s="1246">
        <v>4.8898485599999999</v>
      </c>
      <c r="G335" s="1247"/>
      <c r="I335" s="513"/>
      <c r="K335" s="502">
        <v>77961</v>
      </c>
    </row>
    <row r="336" spans="1:13" x14ac:dyDescent="0.2">
      <c r="A336" s="502">
        <v>77961</v>
      </c>
      <c r="B336" s="516"/>
      <c r="C336" s="1257" t="s">
        <v>2387</v>
      </c>
      <c r="D336" s="1247">
        <f>'[15]Input Sheet'!G1277</f>
        <v>1.7251508879999999</v>
      </c>
      <c r="E336" s="1247"/>
      <c r="F336" s="1246">
        <v>2.7434734350000003</v>
      </c>
      <c r="G336" s="1247"/>
      <c r="I336" s="513"/>
      <c r="K336" s="502">
        <v>77962</v>
      </c>
    </row>
    <row r="337" spans="1:18" x14ac:dyDescent="0.2">
      <c r="A337" s="502">
        <f>'[15]Input Sheet'!D1278</f>
        <v>77962</v>
      </c>
      <c r="B337" s="516"/>
      <c r="C337" s="517" t="str">
        <f>'[15]Input Sheet'!E1278</f>
        <v>Amort. for Right to Use Assets</v>
      </c>
      <c r="D337" s="1247">
        <f>'[15]Input Sheet'!G1278</f>
        <v>253.82251429999999</v>
      </c>
      <c r="E337" s="1247"/>
      <c r="F337" s="1246">
        <v>255.62625589999999</v>
      </c>
      <c r="G337" s="1247"/>
      <c r="I337" s="513"/>
      <c r="K337">
        <v>83102</v>
      </c>
    </row>
    <row r="338" spans="1:18" x14ac:dyDescent="0.2">
      <c r="A338" s="504"/>
      <c r="B338" s="516"/>
      <c r="C338" s="1257"/>
      <c r="D338" s="1247"/>
      <c r="E338" s="1247"/>
      <c r="F338" s="1246"/>
      <c r="G338" s="1247"/>
      <c r="K338">
        <v>83201</v>
      </c>
    </row>
    <row r="339" spans="1:18" ht="15" x14ac:dyDescent="0.25">
      <c r="A339" s="504"/>
      <c r="B339" s="516"/>
      <c r="C339" s="1290" t="s">
        <v>2388</v>
      </c>
      <c r="D339" s="1247"/>
      <c r="E339" s="1247">
        <f>SUM(D340:D347)</f>
        <v>0</v>
      </c>
      <c r="F339" s="1246"/>
      <c r="G339" s="1247">
        <f>SUM(F340:F347)</f>
        <v>0</v>
      </c>
      <c r="K339">
        <v>83202</v>
      </c>
    </row>
    <row r="340" spans="1:18" x14ac:dyDescent="0.2">
      <c r="A340" s="504">
        <v>65001</v>
      </c>
      <c r="B340" s="516"/>
      <c r="C340" s="1257" t="s">
        <v>2389</v>
      </c>
      <c r="D340" s="1247">
        <f>'[15]Input Sheet'!G1101</f>
        <v>0</v>
      </c>
      <c r="E340" s="1247"/>
      <c r="F340" s="1246">
        <v>0</v>
      </c>
      <c r="G340" s="1247"/>
      <c r="K340">
        <v>83301</v>
      </c>
      <c r="P340" s="1291"/>
      <c r="R340" s="518"/>
    </row>
    <row r="341" spans="1:18" x14ac:dyDescent="0.2">
      <c r="A341" s="504">
        <v>65002</v>
      </c>
      <c r="B341" s="516"/>
      <c r="C341" s="1257" t="s">
        <v>2390</v>
      </c>
      <c r="D341" s="1247">
        <f>'[15]Input Sheet'!G1102</f>
        <v>0</v>
      </c>
      <c r="E341" s="1247"/>
      <c r="F341" s="1246">
        <v>0</v>
      </c>
      <c r="G341" s="1247"/>
      <c r="K341">
        <v>83401</v>
      </c>
      <c r="P341" s="1291"/>
      <c r="R341" s="518"/>
    </row>
    <row r="342" spans="1:18" x14ac:dyDescent="0.2">
      <c r="A342" s="504">
        <v>65071</v>
      </c>
      <c r="B342" s="516"/>
      <c r="C342" s="1257" t="s">
        <v>2391</v>
      </c>
      <c r="D342" s="1247">
        <f>'[15]Input Sheet'!G1103</f>
        <v>0</v>
      </c>
      <c r="E342" s="1247"/>
      <c r="F342" s="1246">
        <v>0</v>
      </c>
      <c r="G342" s="1247"/>
      <c r="K342">
        <v>83402</v>
      </c>
      <c r="P342" s="1291"/>
      <c r="R342" s="518"/>
    </row>
    <row r="343" spans="1:18" x14ac:dyDescent="0.2">
      <c r="A343" s="504">
        <v>65072</v>
      </c>
      <c r="B343" s="516"/>
      <c r="C343" s="1257" t="s">
        <v>2392</v>
      </c>
      <c r="D343" s="1247">
        <f>'[15]Input Sheet'!G1104</f>
        <v>0</v>
      </c>
      <c r="E343" s="1247"/>
      <c r="F343" s="1246">
        <v>0</v>
      </c>
      <c r="G343" s="1247"/>
      <c r="K343">
        <v>83501</v>
      </c>
      <c r="P343" s="1291"/>
      <c r="R343" s="518"/>
    </row>
    <row r="344" spans="1:18" x14ac:dyDescent="0.2">
      <c r="A344" s="504">
        <v>65074</v>
      </c>
      <c r="B344" s="516"/>
      <c r="C344" s="1257" t="s">
        <v>2393</v>
      </c>
      <c r="D344" s="1247">
        <f>'[15]Input Sheet'!G1105</f>
        <v>0</v>
      </c>
      <c r="E344" s="1247"/>
      <c r="F344" s="1246">
        <v>0</v>
      </c>
      <c r="G344" s="1247"/>
      <c r="K344">
        <v>83601</v>
      </c>
      <c r="P344" s="1291"/>
      <c r="R344" s="518"/>
    </row>
    <row r="345" spans="1:18" x14ac:dyDescent="0.2">
      <c r="A345" s="504">
        <v>65075</v>
      </c>
      <c r="B345" s="516"/>
      <c r="C345" s="1257" t="s">
        <v>2394</v>
      </c>
      <c r="D345" s="1247">
        <f>'[15]Input Sheet'!G1106</f>
        <v>0</v>
      </c>
      <c r="E345" s="1247"/>
      <c r="F345" s="1246">
        <v>0</v>
      </c>
      <c r="G345" s="1247"/>
      <c r="K345">
        <v>83701</v>
      </c>
      <c r="P345" s="1291"/>
      <c r="R345" s="518"/>
    </row>
    <row r="346" spans="1:18" x14ac:dyDescent="0.2">
      <c r="A346" s="504">
        <v>65076</v>
      </c>
      <c r="B346" s="516"/>
      <c r="C346" s="1257" t="s">
        <v>2395</v>
      </c>
      <c r="D346" s="1247">
        <f>'[15]Input Sheet'!G1107</f>
        <v>0</v>
      </c>
      <c r="E346" s="1247"/>
      <c r="F346" s="1246">
        <v>0</v>
      </c>
      <c r="G346" s="1247"/>
      <c r="K346">
        <v>83801</v>
      </c>
      <c r="P346" s="1291"/>
      <c r="R346" s="518"/>
    </row>
    <row r="347" spans="1:18" x14ac:dyDescent="0.2">
      <c r="A347" s="504">
        <v>65078</v>
      </c>
      <c r="B347" s="516"/>
      <c r="C347" s="1257" t="s">
        <v>2396</v>
      </c>
      <c r="D347" s="1247">
        <f>'[15]Input Sheet'!G1108</f>
        <v>0</v>
      </c>
      <c r="E347" s="1247"/>
      <c r="F347" s="1246">
        <v>0</v>
      </c>
      <c r="G347" s="1247"/>
      <c r="K347">
        <v>83901</v>
      </c>
      <c r="P347" s="1291"/>
      <c r="R347" s="518"/>
    </row>
    <row r="348" spans="1:18" x14ac:dyDescent="0.2">
      <c r="A348" s="504"/>
      <c r="B348" s="516"/>
      <c r="C348" s="1257"/>
      <c r="D348" s="1247"/>
      <c r="E348" s="1247"/>
      <c r="F348" s="1246"/>
      <c r="G348" s="1247"/>
      <c r="K348">
        <v>83902</v>
      </c>
      <c r="P348" s="1291"/>
      <c r="R348" s="518"/>
    </row>
    <row r="349" spans="1:18" ht="15" x14ac:dyDescent="0.25">
      <c r="A349" s="504"/>
      <c r="B349" s="516"/>
      <c r="C349" s="1290" t="s">
        <v>2397</v>
      </c>
      <c r="D349" s="1247"/>
      <c r="E349" s="1247">
        <f>SUM(D350:D370)</f>
        <v>0</v>
      </c>
      <c r="F349" s="1246"/>
      <c r="G349" s="1247">
        <f>SUM(F350:F370)</f>
        <v>0</v>
      </c>
      <c r="H349" s="510"/>
      <c r="K349">
        <v>83961</v>
      </c>
      <c r="P349" s="1291"/>
      <c r="R349" s="518"/>
    </row>
    <row r="350" spans="1:18" x14ac:dyDescent="0.2">
      <c r="A350" s="504">
        <v>83001</v>
      </c>
      <c r="B350" s="516"/>
      <c r="C350" s="1257" t="s">
        <v>2398</v>
      </c>
      <c r="D350" s="1247">
        <f>'[15]Input Sheet'!G1326</f>
        <v>0</v>
      </c>
      <c r="E350" s="1247"/>
      <c r="F350" s="1246">
        <v>0</v>
      </c>
      <c r="G350" s="1247"/>
      <c r="H350" s="425"/>
      <c r="P350" s="1291"/>
      <c r="R350" s="518"/>
    </row>
    <row r="351" spans="1:18" x14ac:dyDescent="0.2">
      <c r="A351" s="504">
        <v>83002</v>
      </c>
      <c r="B351" s="516"/>
      <c r="C351" s="1257" t="s">
        <v>2399</v>
      </c>
      <c r="D351" s="1247">
        <f>'[15]Input Sheet'!G1327</f>
        <v>0</v>
      </c>
      <c r="E351" s="1247"/>
      <c r="F351" s="1246">
        <v>0</v>
      </c>
      <c r="G351" s="1247"/>
      <c r="H351" s="510"/>
      <c r="P351" s="1291"/>
      <c r="R351" s="518"/>
    </row>
    <row r="352" spans="1:18" x14ac:dyDescent="0.2">
      <c r="A352" s="504">
        <v>83071</v>
      </c>
      <c r="B352" s="516"/>
      <c r="C352" s="1257" t="s">
        <v>2400</v>
      </c>
      <c r="D352" s="1247">
        <f>'[15]Input Sheet'!G1328</f>
        <v>0</v>
      </c>
      <c r="E352" s="1247"/>
      <c r="F352" s="1246">
        <v>0</v>
      </c>
      <c r="G352" s="1247"/>
      <c r="H352" s="510"/>
      <c r="P352" s="1291"/>
      <c r="R352" s="518"/>
    </row>
    <row r="353" spans="1:18" x14ac:dyDescent="0.2">
      <c r="A353" s="504">
        <v>83072</v>
      </c>
      <c r="B353" s="516"/>
      <c r="C353" s="1257" t="s">
        <v>2401</v>
      </c>
      <c r="D353" s="1247">
        <f>'[15]Input Sheet'!G1329</f>
        <v>0</v>
      </c>
      <c r="E353" s="1247"/>
      <c r="F353" s="1246">
        <v>0</v>
      </c>
      <c r="G353" s="1247"/>
      <c r="P353" s="1291"/>
      <c r="R353" s="518"/>
    </row>
    <row r="354" spans="1:18" x14ac:dyDescent="0.2">
      <c r="A354" s="504">
        <v>83074</v>
      </c>
      <c r="B354" s="516"/>
      <c r="C354" s="1257" t="s">
        <v>2402</v>
      </c>
      <c r="D354" s="1247">
        <f>'[15]Input Sheet'!G1330</f>
        <v>0</v>
      </c>
      <c r="E354" s="1247"/>
      <c r="F354" s="1246">
        <v>0</v>
      </c>
      <c r="G354" s="1247"/>
      <c r="P354" s="1291"/>
      <c r="R354" s="518"/>
    </row>
    <row r="355" spans="1:18" x14ac:dyDescent="0.2">
      <c r="A355" s="504">
        <v>83075</v>
      </c>
      <c r="B355" s="516"/>
      <c r="C355" s="1257" t="s">
        <v>2403</v>
      </c>
      <c r="D355" s="1247">
        <f>'[15]Input Sheet'!G1331</f>
        <v>0</v>
      </c>
      <c r="E355" s="1247"/>
      <c r="F355" s="1246">
        <v>0</v>
      </c>
      <c r="G355" s="1247"/>
      <c r="P355" s="1291"/>
      <c r="R355" s="518"/>
    </row>
    <row r="356" spans="1:18" x14ac:dyDescent="0.2">
      <c r="A356" s="504">
        <v>83076</v>
      </c>
      <c r="B356" s="516"/>
      <c r="C356" s="1257" t="s">
        <v>2404</v>
      </c>
      <c r="D356" s="1247">
        <f>'[15]Input Sheet'!G1332</f>
        <v>0</v>
      </c>
      <c r="E356" s="1247"/>
      <c r="F356" s="1246">
        <v>0</v>
      </c>
      <c r="G356" s="1247"/>
      <c r="P356" s="1291"/>
      <c r="R356" s="518"/>
    </row>
    <row r="357" spans="1:18" x14ac:dyDescent="0.2">
      <c r="A357" s="504">
        <v>83078</v>
      </c>
      <c r="B357" s="516"/>
      <c r="C357" s="1257" t="s">
        <v>2405</v>
      </c>
      <c r="D357" s="1247">
        <f>'[15]Input Sheet'!G1333</f>
        <v>0</v>
      </c>
      <c r="E357" s="1247"/>
      <c r="F357" s="1246">
        <v>0</v>
      </c>
      <c r="G357" s="1247"/>
      <c r="P357" s="1291"/>
      <c r="R357" s="518"/>
    </row>
    <row r="358" spans="1:18" x14ac:dyDescent="0.2">
      <c r="A358" s="504">
        <v>83102</v>
      </c>
      <c r="B358" s="516"/>
      <c r="C358" s="1257" t="s">
        <v>2406</v>
      </c>
      <c r="D358" s="1247">
        <f>'[15]Input Sheet'!G1334</f>
        <v>0</v>
      </c>
      <c r="E358" s="1247"/>
      <c r="F358" s="1246">
        <v>0</v>
      </c>
      <c r="G358" s="1247"/>
      <c r="P358" s="1291"/>
      <c r="R358" s="518"/>
    </row>
    <row r="359" spans="1:18" x14ac:dyDescent="0.2">
      <c r="A359" s="504">
        <v>83201</v>
      </c>
      <c r="B359" s="516"/>
      <c r="C359" s="1257" t="s">
        <v>2407</v>
      </c>
      <c r="D359" s="1247">
        <f>'[15]Input Sheet'!G1335</f>
        <v>0</v>
      </c>
      <c r="E359" s="1247"/>
      <c r="F359" s="1246">
        <v>0</v>
      </c>
      <c r="G359" s="1247"/>
      <c r="M359" s="425"/>
      <c r="P359" s="1291"/>
      <c r="R359" s="518"/>
    </row>
    <row r="360" spans="1:18" x14ac:dyDescent="0.2">
      <c r="A360" s="504">
        <v>83202</v>
      </c>
      <c r="B360" s="516"/>
      <c r="C360" s="1257" t="s">
        <v>2408</v>
      </c>
      <c r="D360" s="1247">
        <f>'[15]Input Sheet'!G1336</f>
        <v>0</v>
      </c>
      <c r="E360" s="1247"/>
      <c r="F360" s="1246">
        <v>0</v>
      </c>
      <c r="G360" s="1247"/>
      <c r="M360" s="425"/>
      <c r="P360" s="1291"/>
      <c r="R360" s="518"/>
    </row>
    <row r="361" spans="1:18" x14ac:dyDescent="0.2">
      <c r="A361" s="504">
        <v>83301</v>
      </c>
      <c r="B361" s="516"/>
      <c r="C361" s="1257" t="s">
        <v>2409</v>
      </c>
      <c r="D361" s="1247">
        <f>'[15]Input Sheet'!G1337</f>
        <v>0</v>
      </c>
      <c r="E361" s="1247"/>
      <c r="F361" s="1246">
        <v>0</v>
      </c>
      <c r="G361" s="1247"/>
      <c r="M361" s="425"/>
      <c r="P361" s="1291"/>
      <c r="R361" s="518"/>
    </row>
    <row r="362" spans="1:18" x14ac:dyDescent="0.2">
      <c r="A362" s="504">
        <v>83401</v>
      </c>
      <c r="B362" s="516"/>
      <c r="C362" s="1257" t="s">
        <v>2410</v>
      </c>
      <c r="D362" s="1247">
        <f>'[15]Input Sheet'!G1338</f>
        <v>0</v>
      </c>
      <c r="E362" s="1247"/>
      <c r="F362" s="1246">
        <v>0</v>
      </c>
      <c r="G362" s="1247"/>
      <c r="M362" s="425"/>
      <c r="P362" s="1291"/>
      <c r="R362" s="518"/>
    </row>
    <row r="363" spans="1:18" x14ac:dyDescent="0.2">
      <c r="A363" s="504">
        <v>83402</v>
      </c>
      <c r="B363" s="516"/>
      <c r="C363" s="1257" t="s">
        <v>2411</v>
      </c>
      <c r="D363" s="1247">
        <f>'[15]Input Sheet'!G1339</f>
        <v>0</v>
      </c>
      <c r="E363" s="1247"/>
      <c r="F363" s="1246">
        <v>0</v>
      </c>
      <c r="G363" s="1247"/>
      <c r="P363" s="1291"/>
      <c r="R363" s="518"/>
    </row>
    <row r="364" spans="1:18" x14ac:dyDescent="0.2">
      <c r="A364" s="504">
        <v>83501</v>
      </c>
      <c r="B364" s="516"/>
      <c r="C364" s="1257" t="s">
        <v>2412</v>
      </c>
      <c r="D364" s="1247">
        <f>'[15]Input Sheet'!G1340</f>
        <v>0</v>
      </c>
      <c r="E364" s="1247"/>
      <c r="F364" s="1246">
        <v>0</v>
      </c>
      <c r="G364" s="1247"/>
      <c r="P364" s="1291"/>
      <c r="R364" s="518"/>
    </row>
    <row r="365" spans="1:18" x14ac:dyDescent="0.2">
      <c r="A365" s="504">
        <v>83601</v>
      </c>
      <c r="B365" s="516"/>
      <c r="C365" s="1257" t="s">
        <v>2413</v>
      </c>
      <c r="D365" s="1247">
        <f>'[15]Input Sheet'!G1341</f>
        <v>0</v>
      </c>
      <c r="E365" s="1247"/>
      <c r="F365" s="1246">
        <v>0</v>
      </c>
      <c r="G365" s="1247"/>
      <c r="M365" s="425"/>
      <c r="P365" s="1291"/>
      <c r="R365" s="518"/>
    </row>
    <row r="366" spans="1:18" x14ac:dyDescent="0.2">
      <c r="A366" s="504">
        <v>83701</v>
      </c>
      <c r="B366" s="516"/>
      <c r="C366" s="1257" t="s">
        <v>2414</v>
      </c>
      <c r="D366" s="1247">
        <f>'[15]Input Sheet'!G1342</f>
        <v>0</v>
      </c>
      <c r="E366" s="1247"/>
      <c r="F366" s="1246">
        <v>0</v>
      </c>
      <c r="G366" s="1247"/>
      <c r="M366" s="512"/>
      <c r="P366" s="1291"/>
      <c r="R366" s="518"/>
    </row>
    <row r="367" spans="1:18" x14ac:dyDescent="0.2">
      <c r="A367" s="504">
        <v>83801</v>
      </c>
      <c r="B367" s="516"/>
      <c r="C367" s="1257" t="s">
        <v>2415</v>
      </c>
      <c r="D367" s="1247">
        <f>'[15]Input Sheet'!G1343</f>
        <v>0</v>
      </c>
      <c r="E367" s="1247"/>
      <c r="F367" s="1246">
        <v>0</v>
      </c>
      <c r="G367" s="1247"/>
      <c r="M367" s="512"/>
      <c r="P367" s="1291"/>
      <c r="R367" s="518"/>
    </row>
    <row r="368" spans="1:18" x14ac:dyDescent="0.2">
      <c r="A368" s="504">
        <v>83901</v>
      </c>
      <c r="B368" s="516"/>
      <c r="C368" s="1257" t="s">
        <v>2416</v>
      </c>
      <c r="D368" s="1247">
        <f>'[15]Input Sheet'!G1344</f>
        <v>0</v>
      </c>
      <c r="E368" s="1247"/>
      <c r="F368" s="1246">
        <v>0</v>
      </c>
      <c r="G368" s="1247"/>
      <c r="L368" s="425"/>
      <c r="M368" s="425"/>
      <c r="P368" s="1291"/>
      <c r="R368" s="518"/>
    </row>
    <row r="369" spans="1:18" x14ac:dyDescent="0.2">
      <c r="A369" s="504">
        <v>83902</v>
      </c>
      <c r="B369" s="516"/>
      <c r="C369" s="1257" t="s">
        <v>2417</v>
      </c>
      <c r="D369" s="1247">
        <f>'[15]Input Sheet'!G1345</f>
        <v>0</v>
      </c>
      <c r="E369" s="1247"/>
      <c r="F369" s="1246">
        <v>0</v>
      </c>
      <c r="G369" s="1247"/>
      <c r="L369" s="425"/>
      <c r="M369" s="425"/>
      <c r="P369" s="1291"/>
      <c r="R369" s="518"/>
    </row>
    <row r="370" spans="1:18" x14ac:dyDescent="0.2">
      <c r="A370" s="504">
        <v>83961</v>
      </c>
      <c r="B370" s="516"/>
      <c r="C370" s="1257" t="s">
        <v>2418</v>
      </c>
      <c r="D370" s="1247">
        <f>'[15]Input Sheet'!G1346</f>
        <v>0</v>
      </c>
      <c r="E370" s="1247"/>
      <c r="F370" s="1246">
        <v>0</v>
      </c>
      <c r="G370" s="1247"/>
      <c r="L370" s="425"/>
      <c r="M370" s="425"/>
      <c r="P370" s="1291"/>
      <c r="R370" s="518"/>
    </row>
    <row r="371" spans="1:18" x14ac:dyDescent="0.2">
      <c r="A371" s="504"/>
      <c r="B371" s="516"/>
      <c r="C371" s="1257"/>
      <c r="D371" s="1247"/>
      <c r="E371" s="1247"/>
      <c r="F371" s="1246"/>
      <c r="G371" s="1247"/>
      <c r="L371" s="425"/>
      <c r="M371" s="425"/>
    </row>
    <row r="372" spans="1:18" x14ac:dyDescent="0.2">
      <c r="A372" s="504"/>
      <c r="B372" s="414" t="s">
        <v>985</v>
      </c>
      <c r="C372" s="1292" t="s">
        <v>2419</v>
      </c>
      <c r="D372" s="1247"/>
      <c r="E372" s="1247"/>
      <c r="F372" s="1246"/>
      <c r="G372" s="1247"/>
      <c r="M372" s="425"/>
    </row>
    <row r="373" spans="1:18" x14ac:dyDescent="0.2">
      <c r="A373" s="504">
        <v>78500</v>
      </c>
      <c r="C373" s="519" t="s">
        <v>2420</v>
      </c>
      <c r="D373" s="1247">
        <f>+'[15]Input Sheet'!G1280</f>
        <v>0</v>
      </c>
      <c r="E373" s="1247">
        <f>+D373</f>
        <v>0</v>
      </c>
      <c r="F373" s="1246">
        <v>0</v>
      </c>
      <c r="G373" s="1247">
        <f>F373</f>
        <v>0</v>
      </c>
      <c r="L373" s="425"/>
    </row>
    <row r="374" spans="1:18" x14ac:dyDescent="0.2">
      <c r="A374" s="520">
        <v>78521</v>
      </c>
      <c r="B374" s="521"/>
      <c r="C374" s="522" t="s">
        <v>2421</v>
      </c>
      <c r="D374" s="1293">
        <f>+'[15]Input Sheet'!G1282</f>
        <v>-222.37967269999999</v>
      </c>
      <c r="E374" s="1293">
        <f>+D374</f>
        <v>-222.37967269999999</v>
      </c>
      <c r="F374" s="1294">
        <v>-472.23058350000002</v>
      </c>
      <c r="G374" s="1247">
        <f>F374</f>
        <v>-472.23058350000002</v>
      </c>
      <c r="L374" s="425"/>
    </row>
    <row r="375" spans="1:18" x14ac:dyDescent="0.2">
      <c r="L375" s="425"/>
    </row>
    <row r="376" spans="1:18" x14ac:dyDescent="0.2">
      <c r="L376" s="425"/>
    </row>
    <row r="377" spans="1:18" x14ac:dyDescent="0.2">
      <c r="D377" s="1238">
        <f>'[15]Asset history'!H54/10^7</f>
        <v>0</v>
      </c>
      <c r="L377" s="425"/>
    </row>
  </sheetData>
  <mergeCells count="6">
    <mergeCell ref="G233:G235"/>
    <mergeCell ref="A1:E1"/>
    <mergeCell ref="D3:E3"/>
    <mergeCell ref="F3:G3"/>
    <mergeCell ref="G200:G204"/>
    <mergeCell ref="G210:G213"/>
  </mergeCells>
  <conditionalFormatting sqref="A30:A31">
    <cfRule type="duplicateValues" dxfId="18" priority="17"/>
  </conditionalFormatting>
  <conditionalFormatting sqref="A337">
    <cfRule type="duplicateValues" dxfId="17" priority="13"/>
    <cfRule type="duplicateValues" dxfId="16" priority="14"/>
  </conditionalFormatting>
  <conditionalFormatting sqref="A338:A1048576 A1:A151 A153:A206 A208:A336">
    <cfRule type="duplicateValues" dxfId="15" priority="15"/>
    <cfRule type="duplicateValues" dxfId="14" priority="19"/>
  </conditionalFormatting>
  <conditionalFormatting sqref="A372:A374">
    <cfRule type="duplicateValues" dxfId="13" priority="18"/>
  </conditionalFormatting>
  <conditionalFormatting sqref="C29">
    <cfRule type="duplicateValues" dxfId="12" priority="16"/>
  </conditionalFormatting>
  <conditionalFormatting sqref="K321:K335">
    <cfRule type="duplicateValues" dxfId="11" priority="11"/>
    <cfRule type="duplicateValues" dxfId="10" priority="12"/>
  </conditionalFormatting>
  <conditionalFormatting sqref="K336">
    <cfRule type="duplicateValues" dxfId="9" priority="9"/>
    <cfRule type="duplicateValues" dxfId="8" priority="10"/>
  </conditionalFormatting>
  <conditionalFormatting sqref="P340:P359 P361 P364:P370">
    <cfRule type="duplicateValues" dxfId="7" priority="7"/>
    <cfRule type="duplicateValues" dxfId="6" priority="8"/>
  </conditionalFormatting>
  <conditionalFormatting sqref="P360">
    <cfRule type="duplicateValues" dxfId="5" priority="5"/>
    <cfRule type="duplicateValues" dxfId="4" priority="6"/>
  </conditionalFormatting>
  <conditionalFormatting sqref="P362">
    <cfRule type="duplicateValues" dxfId="3" priority="3"/>
    <cfRule type="duplicateValues" dxfId="2" priority="4"/>
  </conditionalFormatting>
  <conditionalFormatting sqref="P363">
    <cfRule type="duplicateValues" dxfId="1" priority="1"/>
    <cfRule type="duplicateValues" dxfId="0" priority="2"/>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2"/>
  <sheetViews>
    <sheetView workbookViewId="0">
      <selection sqref="A1:XFD1048576"/>
    </sheetView>
  </sheetViews>
  <sheetFormatPr defaultColWidth="9.140625" defaultRowHeight="12.75" x14ac:dyDescent="0.2"/>
  <cols>
    <col min="1" max="1" width="42.42578125" style="321" customWidth="1"/>
    <col min="2" max="4" width="20.5703125" style="321" customWidth="1"/>
    <col min="5" max="5" width="25.28515625" style="321" hidden="1" customWidth="1"/>
    <col min="6" max="6" width="19" style="321" customWidth="1"/>
    <col min="7" max="7" width="16.28515625" style="321" customWidth="1"/>
    <col min="8" max="8" width="11" style="321" bestFit="1" customWidth="1"/>
    <col min="9" max="9" width="11.85546875" style="321" bestFit="1" customWidth="1"/>
    <col min="10" max="10" width="10.140625" style="321" bestFit="1" customWidth="1"/>
    <col min="11" max="11" width="11.5703125" style="321" bestFit="1" customWidth="1"/>
    <col min="12" max="16384" width="9.140625" style="321"/>
  </cols>
  <sheetData>
    <row r="1" spans="1:48" ht="21" customHeight="1" x14ac:dyDescent="0.2">
      <c r="A1" s="220" t="str">
        <f>'[15]balance sheet P&amp;L'!B1</f>
        <v>MAHARASHTRA STATE POWER GENERATION COMPANY LIMITED [CIN -U40100MH2005SGC153648]</v>
      </c>
      <c r="B1" s="325"/>
      <c r="C1" s="325"/>
      <c r="D1" s="325"/>
      <c r="E1" s="325"/>
      <c r="F1" s="523"/>
    </row>
    <row r="2" spans="1:48" x14ac:dyDescent="0.2">
      <c r="A2" s="180" t="s">
        <v>2422</v>
      </c>
      <c r="F2" s="524"/>
    </row>
    <row r="3" spans="1:48" ht="24" customHeight="1" x14ac:dyDescent="0.2">
      <c r="A3" s="180" t="s">
        <v>2423</v>
      </c>
      <c r="F3" s="524"/>
      <c r="G3" s="525"/>
    </row>
    <row r="4" spans="1:48" ht="19.5" customHeight="1" x14ac:dyDescent="0.2">
      <c r="A4" s="1732" t="s">
        <v>63</v>
      </c>
      <c r="B4" s="1733"/>
      <c r="C4" s="1734" t="s">
        <v>2424</v>
      </c>
      <c r="D4" s="1734"/>
      <c r="F4" s="524"/>
    </row>
    <row r="5" spans="1:48" ht="15.75" x14ac:dyDescent="0.2">
      <c r="A5" s="526" t="s">
        <v>2425</v>
      </c>
      <c r="B5" s="527"/>
      <c r="C5" s="1735">
        <f>+'[15]Share Capital'!H22</f>
        <v>25407.946225999996</v>
      </c>
      <c r="D5" s="1735"/>
      <c r="E5" s="1296"/>
      <c r="F5" s="524"/>
      <c r="AS5" s="528"/>
      <c r="AT5" s="528"/>
      <c r="AU5" s="528"/>
      <c r="AV5" s="528"/>
    </row>
    <row r="6" spans="1:48" ht="15.75" x14ac:dyDescent="0.2">
      <c r="A6" s="529" t="s">
        <v>2426</v>
      </c>
      <c r="B6" s="527"/>
      <c r="C6" s="1736">
        <v>0</v>
      </c>
      <c r="D6" s="1737"/>
      <c r="E6" s="1296"/>
      <c r="F6" s="524"/>
      <c r="AS6" s="528"/>
      <c r="AT6" s="528"/>
      <c r="AU6" s="528"/>
      <c r="AV6" s="528"/>
    </row>
    <row r="7" spans="1:48" ht="15.75" x14ac:dyDescent="0.2">
      <c r="A7" s="526" t="s">
        <v>2427</v>
      </c>
      <c r="B7" s="527"/>
      <c r="C7" s="1736">
        <f>C5-C6</f>
        <v>25407.946225999996</v>
      </c>
      <c r="D7" s="1737"/>
      <c r="E7" s="1296"/>
      <c r="F7" s="524"/>
      <c r="AS7" s="528"/>
      <c r="AT7" s="528"/>
      <c r="AU7" s="528"/>
      <c r="AV7" s="528"/>
    </row>
    <row r="8" spans="1:48" ht="15.75" customHeight="1" x14ac:dyDescent="0.2">
      <c r="A8" s="1730" t="s">
        <v>2428</v>
      </c>
      <c r="B8" s="1730"/>
      <c r="C8" s="1731">
        <f>C9-C5</f>
        <v>42.5</v>
      </c>
      <c r="D8" s="1731"/>
      <c r="E8" s="1297"/>
      <c r="F8" s="524"/>
      <c r="AS8" s="528"/>
      <c r="AT8" s="528"/>
      <c r="AU8" s="528"/>
      <c r="AV8" s="528"/>
    </row>
    <row r="9" spans="1:48" ht="15.75" customHeight="1" x14ac:dyDescent="0.2">
      <c r="A9" s="526" t="s">
        <v>2429</v>
      </c>
      <c r="B9" s="527"/>
      <c r="C9" s="1735">
        <f>+'[15]Share Capital'!F22</f>
        <v>25450.446225999996</v>
      </c>
      <c r="D9" s="1735"/>
      <c r="E9" s="1296"/>
      <c r="F9" s="524"/>
      <c r="AS9" s="528"/>
      <c r="AT9" s="528"/>
      <c r="AU9" s="528"/>
      <c r="AV9" s="528"/>
    </row>
    <row r="10" spans="1:48" ht="15.75" customHeight="1" x14ac:dyDescent="0.2">
      <c r="A10" s="1730" t="s">
        <v>2428</v>
      </c>
      <c r="B10" s="1730"/>
      <c r="C10" s="1731">
        <f>C11-C9</f>
        <v>468.04999999999927</v>
      </c>
      <c r="D10" s="1731"/>
      <c r="E10" s="1297"/>
      <c r="F10" s="524"/>
      <c r="AS10" s="528"/>
      <c r="AT10" s="528"/>
      <c r="AU10" s="528"/>
      <c r="AV10" s="528"/>
    </row>
    <row r="11" spans="1:48" ht="16.5" customHeight="1" x14ac:dyDescent="0.2">
      <c r="A11" s="526" t="s">
        <v>2430</v>
      </c>
      <c r="B11" s="527"/>
      <c r="C11" s="1742">
        <f>+'[15]Share Capital'!D22</f>
        <v>25918.496225999996</v>
      </c>
      <c r="D11" s="1742"/>
      <c r="E11" s="1298"/>
      <c r="F11" s="524"/>
      <c r="G11" s="321">
        <v>37</v>
      </c>
      <c r="AS11" s="528"/>
      <c r="AT11" s="528"/>
      <c r="AU11" s="528"/>
      <c r="AV11" s="528"/>
    </row>
    <row r="12" spans="1:48" ht="12.75" customHeight="1" x14ac:dyDescent="0.2">
      <c r="A12" s="327"/>
      <c r="F12" s="524"/>
      <c r="AS12" s="528"/>
      <c r="AT12" s="528"/>
      <c r="AU12" s="528"/>
      <c r="AV12" s="528"/>
    </row>
    <row r="13" spans="1:48" x14ac:dyDescent="0.2">
      <c r="A13" s="180" t="s">
        <v>2431</v>
      </c>
      <c r="F13" s="524"/>
    </row>
    <row r="14" spans="1:48" ht="12.75" customHeight="1" x14ac:dyDescent="0.2">
      <c r="A14" s="327"/>
      <c r="F14" s="531" t="s">
        <v>832</v>
      </c>
    </row>
    <row r="15" spans="1:48" ht="13.5" customHeight="1" x14ac:dyDescent="0.2">
      <c r="A15" s="1730"/>
      <c r="B15" s="1738" t="s">
        <v>891</v>
      </c>
      <c r="C15" s="1738" t="s">
        <v>2432</v>
      </c>
      <c r="D15" s="1738" t="s">
        <v>808</v>
      </c>
      <c r="E15" s="530"/>
      <c r="F15" s="1738" t="s">
        <v>2433</v>
      </c>
    </row>
    <row r="16" spans="1:48" ht="33" customHeight="1" x14ac:dyDescent="0.2">
      <c r="A16" s="1730"/>
      <c r="B16" s="1738"/>
      <c r="C16" s="1738"/>
      <c r="D16" s="1738"/>
      <c r="E16" s="530"/>
      <c r="F16" s="1738"/>
      <c r="I16" s="321">
        <v>81.36831290954251</v>
      </c>
    </row>
    <row r="17" spans="1:11" ht="12.75" customHeight="1" x14ac:dyDescent="0.2">
      <c r="A17" s="486" t="str">
        <f>A5</f>
        <v>As on 31.03.2021</v>
      </c>
      <c r="B17" s="1209">
        <v>42.500008452008927</v>
      </c>
      <c r="C17" s="1209">
        <v>-6300.2933867644833</v>
      </c>
      <c r="D17" s="1209">
        <v>-219.85573527724802</v>
      </c>
      <c r="E17" s="1209"/>
      <c r="F17" s="1209">
        <f t="shared" ref="F17:F33" si="0">SUM(B17:E17)</f>
        <v>-6477.6491135897222</v>
      </c>
      <c r="H17" s="532"/>
      <c r="I17" s="533">
        <f>+'[15]balance sheet P&amp;L'!I255+97.46</f>
        <v>97.46</v>
      </c>
      <c r="J17" s="534">
        <v>-97.46</v>
      </c>
      <c r="K17" s="534"/>
    </row>
    <row r="18" spans="1:11" ht="15.75" customHeight="1" x14ac:dyDescent="0.2">
      <c r="A18" s="530" t="s">
        <v>2426</v>
      </c>
      <c r="B18" s="1209"/>
      <c r="C18" s="1209">
        <v>-20.034491672726411</v>
      </c>
      <c r="D18" s="1209"/>
      <c r="E18" s="1209"/>
      <c r="F18" s="1209">
        <f t="shared" si="0"/>
        <v>-20.034491672726411</v>
      </c>
      <c r="I18" s="533"/>
      <c r="J18" s="534"/>
      <c r="K18" s="534"/>
    </row>
    <row r="19" spans="1:11" ht="15.75" customHeight="1" x14ac:dyDescent="0.2">
      <c r="A19" s="486" t="s">
        <v>2427</v>
      </c>
      <c r="B19" s="1299">
        <f>SUM(B17:B18)</f>
        <v>42.500008452008927</v>
      </c>
      <c r="C19" s="1299">
        <f t="shared" ref="C19:D19" si="1">SUM(C17:C18)</f>
        <v>-6320.3278784372096</v>
      </c>
      <c r="D19" s="1299">
        <f t="shared" si="1"/>
        <v>-219.85573527724802</v>
      </c>
      <c r="E19" s="1300"/>
      <c r="F19" s="1300">
        <f t="shared" si="0"/>
        <v>-6497.6836052624485</v>
      </c>
      <c r="G19" s="1301">
        <f>F19-'[15]balance sheet P&amp;L'!F255</f>
        <v>-5.6797671277308837E-7</v>
      </c>
      <c r="I19" s="533"/>
      <c r="J19" s="534"/>
      <c r="K19" s="534"/>
    </row>
    <row r="20" spans="1:11" ht="15.75" customHeight="1" x14ac:dyDescent="0.2">
      <c r="A20" s="530" t="s">
        <v>2434</v>
      </c>
      <c r="B20" s="1302"/>
      <c r="C20" s="1302">
        <f>'[15]balance sheet P&amp;L'!E102</f>
        <v>-1644.3397412090421</v>
      </c>
      <c r="D20" s="1302"/>
      <c r="E20" s="1209"/>
      <c r="F20" s="1209">
        <f t="shared" si="0"/>
        <v>-1644.3397412090421</v>
      </c>
      <c r="G20" s="1303"/>
      <c r="I20" s="535">
        <f>+C20</f>
        <v>-1644.3397412090421</v>
      </c>
      <c r="J20" s="534"/>
      <c r="K20" s="534"/>
    </row>
    <row r="21" spans="1:11" ht="15.75" customHeight="1" x14ac:dyDescent="0.2">
      <c r="A21" s="530" t="s">
        <v>2435</v>
      </c>
      <c r="B21" s="1302"/>
      <c r="C21" s="1302"/>
      <c r="D21" s="1302">
        <f>'[15]balance sheet P&amp;L'!E107</f>
        <v>-38.54443138896</v>
      </c>
      <c r="E21" s="1209"/>
      <c r="F21" s="1209">
        <f t="shared" si="0"/>
        <v>-38.54443138896</v>
      </c>
      <c r="G21" s="1303"/>
      <c r="I21" s="534"/>
      <c r="J21" s="535">
        <f>+D21</f>
        <v>-38.54443138896</v>
      </c>
      <c r="K21" s="534"/>
    </row>
    <row r="22" spans="1:11" ht="15.75" hidden="1" customHeight="1" x14ac:dyDescent="0.2">
      <c r="A22" s="530"/>
      <c r="B22" s="1302"/>
      <c r="C22" s="1302"/>
      <c r="D22" s="1302"/>
      <c r="E22" s="1209"/>
      <c r="F22" s="1209">
        <f t="shared" si="0"/>
        <v>0</v>
      </c>
      <c r="G22" s="1303"/>
      <c r="I22" s="534"/>
      <c r="J22" s="534"/>
      <c r="K22" s="534"/>
    </row>
    <row r="23" spans="1:11" ht="15.75" customHeight="1" x14ac:dyDescent="0.2">
      <c r="A23" s="530" t="s">
        <v>2436</v>
      </c>
      <c r="B23" s="1302">
        <v>468.05000342600397</v>
      </c>
      <c r="C23" s="1302"/>
      <c r="D23" s="1302"/>
      <c r="E23" s="1209"/>
      <c r="F23" s="1209">
        <f t="shared" si="0"/>
        <v>468.05000342600397</v>
      </c>
      <c r="G23" s="1303"/>
      <c r="I23" s="534"/>
      <c r="J23" s="534"/>
      <c r="K23" s="534"/>
    </row>
    <row r="24" spans="1:11" ht="15.75" customHeight="1" x14ac:dyDescent="0.2">
      <c r="A24" s="530" t="s">
        <v>2437</v>
      </c>
      <c r="B24" s="1302">
        <v>-42.5</v>
      </c>
      <c r="C24" s="1302"/>
      <c r="D24" s="1302"/>
      <c r="E24" s="1209"/>
      <c r="F24" s="1209">
        <f t="shared" si="0"/>
        <v>-42.5</v>
      </c>
      <c r="G24" s="1303"/>
      <c r="I24" s="534"/>
      <c r="J24" s="534"/>
      <c r="K24" s="534"/>
    </row>
    <row r="25" spans="1:11" ht="15.75" customHeight="1" x14ac:dyDescent="0.2">
      <c r="A25" s="530" t="str">
        <f>A9</f>
        <v>As at 31.03.2022</v>
      </c>
      <c r="B25" s="1302">
        <f>SUM(B19:B24)</f>
        <v>468.05001187801292</v>
      </c>
      <c r="C25" s="1302">
        <f t="shared" ref="C25:D25" si="2">SUM(C19:C24)</f>
        <v>-7964.6676196462522</v>
      </c>
      <c r="D25" s="1302">
        <f t="shared" si="2"/>
        <v>-258.40016666620801</v>
      </c>
      <c r="E25" s="1209"/>
      <c r="F25" s="1209">
        <f t="shared" si="0"/>
        <v>-7755.0177744344473</v>
      </c>
      <c r="G25" s="1303"/>
      <c r="H25" s="536"/>
      <c r="I25" s="1304">
        <f>F25-H25</f>
        <v>-7755.0177744344473</v>
      </c>
      <c r="J25" s="1304">
        <f>SUM(J17:J24)</f>
        <v>-136.00443138896</v>
      </c>
      <c r="K25" s="534"/>
    </row>
    <row r="26" spans="1:11" ht="15.75" customHeight="1" x14ac:dyDescent="0.2">
      <c r="A26" s="530" t="s">
        <v>2426</v>
      </c>
      <c r="B26" s="1302"/>
      <c r="C26" s="1302"/>
      <c r="D26" s="1302"/>
      <c r="E26" s="1209"/>
      <c r="F26" s="1209">
        <f t="shared" si="0"/>
        <v>0</v>
      </c>
      <c r="G26" s="1303"/>
      <c r="I26" s="1305"/>
      <c r="J26" s="1305"/>
      <c r="K26" s="534"/>
    </row>
    <row r="27" spans="1:11" ht="15.75" customHeight="1" x14ac:dyDescent="0.2">
      <c r="A27" s="486" t="s">
        <v>2438</v>
      </c>
      <c r="B27" s="1299">
        <f>SUM(B25:B26)</f>
        <v>468.05001187801292</v>
      </c>
      <c r="C27" s="1299">
        <f t="shared" ref="C27:D27" si="3">SUM(C25:C26)</f>
        <v>-7964.6676196462522</v>
      </c>
      <c r="D27" s="1299">
        <f t="shared" si="3"/>
        <v>-258.40016666620801</v>
      </c>
      <c r="E27" s="1300"/>
      <c r="F27" s="1300">
        <f t="shared" si="0"/>
        <v>-7755.0177744344473</v>
      </c>
      <c r="G27" s="1301">
        <f>F27-'[15]balance sheet P&amp;L'!E255</f>
        <v>-2.9045804694760591E-7</v>
      </c>
      <c r="H27" s="537"/>
      <c r="I27" s="1305"/>
      <c r="J27" s="1305"/>
      <c r="K27" s="534"/>
    </row>
    <row r="28" spans="1:11" ht="15.75" customHeight="1" x14ac:dyDescent="0.2">
      <c r="A28" s="530" t="s">
        <v>2434</v>
      </c>
      <c r="B28" s="1302"/>
      <c r="C28" s="1302">
        <f>'[15]balance sheet P&amp;L'!D102</f>
        <v>-796.03891433351282</v>
      </c>
      <c r="D28" s="1302"/>
      <c r="E28" s="1209"/>
      <c r="F28" s="1209">
        <f t="shared" si="0"/>
        <v>-796.03891433351282</v>
      </c>
      <c r="G28" s="1303"/>
      <c r="I28" s="535">
        <f>+C28</f>
        <v>-796.03891433351282</v>
      </c>
      <c r="J28" s="534"/>
      <c r="K28" s="534"/>
    </row>
    <row r="29" spans="1:11" ht="15.75" customHeight="1" x14ac:dyDescent="0.2">
      <c r="A29" s="530" t="s">
        <v>2435</v>
      </c>
      <c r="B29" s="1302"/>
      <c r="C29" s="1302"/>
      <c r="D29" s="1302">
        <f>'[15]balance sheet P&amp;L'!D107</f>
        <v>-14.781612403487998</v>
      </c>
      <c r="E29" s="1209"/>
      <c r="F29" s="1209">
        <f t="shared" si="0"/>
        <v>-14.781612403487998</v>
      </c>
      <c r="G29" s="1303"/>
      <c r="I29" s="534"/>
      <c r="J29" s="535">
        <f>+D29</f>
        <v>-14.781612403487998</v>
      </c>
      <c r="K29" s="534"/>
    </row>
    <row r="30" spans="1:11" ht="15.75" hidden="1" customHeight="1" x14ac:dyDescent="0.2">
      <c r="A30" s="530"/>
      <c r="B30" s="1302"/>
      <c r="C30" s="1302"/>
      <c r="D30" s="1302"/>
      <c r="E30" s="1209"/>
      <c r="F30" s="1209">
        <f t="shared" si="0"/>
        <v>0</v>
      </c>
      <c r="G30" s="1303"/>
      <c r="I30" s="534"/>
      <c r="J30" s="534"/>
      <c r="K30" s="534"/>
    </row>
    <row r="31" spans="1:11" ht="15.75" customHeight="1" x14ac:dyDescent="0.2">
      <c r="A31" s="530" t="s">
        <v>2436</v>
      </c>
      <c r="B31" s="1302">
        <f>(+'[15]Input Sheet'!R1036-C11)</f>
        <v>91.141003426004318</v>
      </c>
      <c r="C31" s="1302"/>
      <c r="D31" s="1302"/>
      <c r="E31" s="1209"/>
      <c r="F31" s="1209">
        <f t="shared" si="0"/>
        <v>91.141003426004318</v>
      </c>
      <c r="G31" s="1303"/>
      <c r="I31" s="534"/>
      <c r="J31" s="534"/>
      <c r="K31" s="534"/>
    </row>
    <row r="32" spans="1:11" ht="15.75" customHeight="1" x14ac:dyDescent="0.2">
      <c r="A32" s="530" t="s">
        <v>2437</v>
      </c>
      <c r="B32" s="1209">
        <f>-'[15]Share Capital'!D21</f>
        <v>-468.05</v>
      </c>
      <c r="C32" s="1302"/>
      <c r="D32" s="1302"/>
      <c r="E32" s="1209"/>
      <c r="F32" s="1209">
        <f t="shared" si="0"/>
        <v>-468.05</v>
      </c>
      <c r="G32" s="1303"/>
      <c r="I32" s="534"/>
      <c r="J32" s="534"/>
      <c r="K32" s="534"/>
    </row>
    <row r="33" spans="1:12" ht="15.75" customHeight="1" x14ac:dyDescent="0.2">
      <c r="A33" s="486" t="str">
        <f>A11</f>
        <v>As at 31.03.2023</v>
      </c>
      <c r="B33" s="1300">
        <f>SUM(B27:B32)</f>
        <v>91.14101530401723</v>
      </c>
      <c r="C33" s="1300">
        <f>SUM(C27:C32)</f>
        <v>-8760.7065339797646</v>
      </c>
      <c r="D33" s="1300">
        <f>SUM(D27:D32)</f>
        <v>-273.18177906969601</v>
      </c>
      <c r="E33" s="1300"/>
      <c r="F33" s="1300">
        <f t="shared" si="0"/>
        <v>-8942.7472977454436</v>
      </c>
      <c r="G33" s="1301">
        <f>F33-'[15]balance sheet P&amp;L'!D255</f>
        <v>-2.584583853604272E-7</v>
      </c>
      <c r="H33" s="538">
        <f>SUM(F27:F32)-F33</f>
        <v>0</v>
      </c>
      <c r="I33" s="1304">
        <f>SUM(I25:I32)</f>
        <v>-8551.0566887679597</v>
      </c>
      <c r="J33" s="1304">
        <f>SUM(J25:J32)</f>
        <v>-150.786043792448</v>
      </c>
      <c r="K33" s="535">
        <f>+B33+I33+J33</f>
        <v>-8610.7017172563901</v>
      </c>
      <c r="L33" s="536"/>
    </row>
    <row r="34" spans="1:12" ht="12.75" hidden="1" customHeight="1" x14ac:dyDescent="0.2">
      <c r="A34" s="327"/>
      <c r="F34" s="539">
        <f>+F33-'[15]balance sheet P&amp;L'!D35</f>
        <v>-2.584583853604272E-7</v>
      </c>
      <c r="G34" s="1303"/>
      <c r="I34" s="534"/>
      <c r="J34" s="534"/>
      <c r="K34" s="534"/>
    </row>
    <row r="35" spans="1:12" ht="12.75" hidden="1" customHeight="1" x14ac:dyDescent="0.2">
      <c r="A35" s="327"/>
      <c r="B35" s="540"/>
      <c r="F35" s="524"/>
      <c r="G35" s="1303"/>
      <c r="I35" s="534"/>
      <c r="J35" s="534"/>
      <c r="K35" s="534"/>
    </row>
    <row r="36" spans="1:12" ht="9" hidden="1" customHeight="1" x14ac:dyDescent="0.2">
      <c r="A36" s="1739"/>
      <c r="B36" s="1740"/>
      <c r="C36" s="1740"/>
      <c r="D36" s="1740"/>
      <c r="E36" s="1740"/>
      <c r="F36" s="1741"/>
      <c r="G36" s="1303">
        <f>+F25-'[15]balance sheet P&amp;L'!E35</f>
        <v>-2.9045804694760591E-7</v>
      </c>
      <c r="I36" s="534"/>
      <c r="J36" s="534"/>
      <c r="K36" s="534"/>
    </row>
    <row r="37" spans="1:12" x14ac:dyDescent="0.2">
      <c r="A37" s="327"/>
      <c r="D37" s="1306"/>
      <c r="E37" s="1306"/>
      <c r="F37" s="1307"/>
      <c r="G37" s="1303"/>
      <c r="H37" s="536"/>
      <c r="I37" s="534"/>
      <c r="J37" s="534"/>
      <c r="K37" s="535">
        <f>+'[15]balance sheet P&amp;L'!D35</f>
        <v>-8942.7472974869852</v>
      </c>
    </row>
    <row r="38" spans="1:12" x14ac:dyDescent="0.2">
      <c r="A38" s="327" t="s">
        <v>744</v>
      </c>
      <c r="B38" s="541" t="s">
        <v>746</v>
      </c>
      <c r="D38" s="1306"/>
      <c r="E38" s="1306"/>
      <c r="F38" s="1307"/>
      <c r="H38" s="536"/>
      <c r="I38" s="534"/>
      <c r="J38" s="534"/>
      <c r="K38" s="535">
        <f>+K33-K37</f>
        <v>332.04558023059508</v>
      </c>
    </row>
    <row r="39" spans="1:12" x14ac:dyDescent="0.2">
      <c r="A39" s="180" t="str">
        <f>+'[15]balance sheet P&amp;L'!B61</f>
        <v>For Shah and Taparia</v>
      </c>
      <c r="D39" s="1306"/>
      <c r="E39" s="1306"/>
      <c r="F39" s="1307"/>
      <c r="H39" s="536"/>
    </row>
    <row r="40" spans="1:12" x14ac:dyDescent="0.2">
      <c r="A40" s="327" t="s">
        <v>747</v>
      </c>
      <c r="D40" s="1308"/>
      <c r="F40" s="524"/>
      <c r="H40" s="542"/>
    </row>
    <row r="41" spans="1:12" x14ac:dyDescent="0.2">
      <c r="A41" s="327" t="str">
        <f>'[15]balance sheet P&amp;L'!B63</f>
        <v>(FRN  - 109463W )</v>
      </c>
      <c r="F41" s="524"/>
    </row>
    <row r="42" spans="1:12" ht="30" customHeight="1" x14ac:dyDescent="0.2">
      <c r="A42" s="327"/>
      <c r="D42" s="543"/>
      <c r="F42" s="524"/>
    </row>
    <row r="43" spans="1:12" x14ac:dyDescent="0.2">
      <c r="A43" s="327" t="str">
        <f>+'[15]balance sheet P&amp;L'!B65</f>
        <v>(CA Bharat Ramesh Joshi)</v>
      </c>
      <c r="B43" s="1309" t="str">
        <f>+'[15]balance sheet P&amp;L'!C66</f>
        <v>Balasaheb Thite</v>
      </c>
      <c r="D43" s="1309" t="str">
        <f>+'[15]balance sheet P&amp;L'!E66</f>
        <v>Dr. P. Anabalgan</v>
      </c>
      <c r="E43" s="1309"/>
      <c r="F43" s="524"/>
    </row>
    <row r="44" spans="1:12" x14ac:dyDescent="0.2">
      <c r="A44" s="327" t="str">
        <f>+'[15]balance sheet P&amp;L'!B66</f>
        <v>Partner (ICAI M No. 130863)</v>
      </c>
      <c r="B44" s="824" t="str">
        <f>+'[15]balance sheet P&amp;L'!C67</f>
        <v>Director (Finance) &amp; CFO</v>
      </c>
      <c r="D44" s="1309" t="str">
        <f>+'[15]balance sheet P&amp;L'!E67</f>
        <v>Chairman &amp; Managing Director</v>
      </c>
      <c r="E44" s="1310"/>
      <c r="F44" s="524"/>
    </row>
    <row r="45" spans="1:12" x14ac:dyDescent="0.2">
      <c r="A45" s="327"/>
      <c r="B45" s="1309" t="str">
        <f>+'[15]balance sheet P&amp;L'!C68</f>
        <v xml:space="preserve"> DIN No.08923676</v>
      </c>
      <c r="D45" s="1309" t="str">
        <f>+'[15]balance sheet P&amp;L'!E68</f>
        <v>DIN No. 05117747</v>
      </c>
      <c r="E45" s="1309"/>
      <c r="F45" s="524"/>
    </row>
    <row r="46" spans="1:12" x14ac:dyDescent="0.2">
      <c r="A46" s="544" t="str">
        <f>+'[15]balance sheet P&amp;L'!B68</f>
        <v>For Ummed Jain &amp; Co.</v>
      </c>
      <c r="B46" s="545"/>
      <c r="F46" s="524"/>
    </row>
    <row r="47" spans="1:12" x14ac:dyDescent="0.2">
      <c r="A47" s="546" t="str">
        <f>+'[15]balance sheet P&amp;L'!B69</f>
        <v>Chartered Accountants</v>
      </c>
      <c r="B47" s="545"/>
      <c r="D47" s="547"/>
      <c r="F47" s="524"/>
    </row>
    <row r="48" spans="1:12" x14ac:dyDescent="0.2">
      <c r="A48" s="546" t="str">
        <f>+'[15]balance sheet P&amp;L'!B70</f>
        <v>(FRN  -119250W)</v>
      </c>
      <c r="B48" s="545"/>
      <c r="F48" s="524"/>
    </row>
    <row r="49" spans="1:6" ht="33.75" customHeight="1" x14ac:dyDescent="0.2">
      <c r="A49" s="546"/>
      <c r="B49" s="209" t="str">
        <f>+'[15]balance sheet P&amp;L'!C72</f>
        <v>Vijay Chitlange</v>
      </c>
      <c r="C49" s="1311"/>
      <c r="D49" s="1312" t="str">
        <f>+'[15]balance sheet P&amp;L'!E72</f>
        <v>Rahul Dubey</v>
      </c>
      <c r="E49" s="1311"/>
      <c r="F49" s="524"/>
    </row>
    <row r="50" spans="1:6" ht="18.75" customHeight="1" x14ac:dyDescent="0.2">
      <c r="A50" s="546" t="str">
        <f>'[15]balance sheet P&amp;L'!B72</f>
        <v>(CA Ritu Sanghi )</v>
      </c>
      <c r="B50" s="548" t="str">
        <f>+'[15]balance sheet P&amp;L'!C73</f>
        <v>Chief General Manager (A/c)</v>
      </c>
      <c r="C50" s="1311"/>
      <c r="D50" s="1311" t="str">
        <f>+'[15]balance sheet P&amp;L'!E73</f>
        <v>Company Secretary</v>
      </c>
      <c r="E50" s="1311"/>
      <c r="F50" s="524"/>
    </row>
    <row r="51" spans="1:6" x14ac:dyDescent="0.2">
      <c r="A51" s="546" t="str">
        <f>+'[15]balance sheet P&amp;L'!B73</f>
        <v>Partner (ICAI M No. 425542 )</v>
      </c>
      <c r="B51" s="549"/>
      <c r="C51" s="1313"/>
      <c r="D51" s="1311" t="str">
        <f>+'[15]balance sheet P&amp;L'!E74</f>
        <v>M No. A14213</v>
      </c>
      <c r="E51" s="1311"/>
      <c r="F51" s="524"/>
    </row>
    <row r="52" spans="1:6" ht="14.25" x14ac:dyDescent="0.2">
      <c r="A52" s="546" t="s">
        <v>2439</v>
      </c>
      <c r="E52" s="1311"/>
      <c r="F52" s="524"/>
    </row>
    <row r="53" spans="1:6" x14ac:dyDescent="0.2">
      <c r="A53" s="550"/>
      <c r="B53" s="551"/>
      <c r="C53" s="551"/>
      <c r="D53" s="551"/>
      <c r="E53" s="551"/>
      <c r="F53" s="552"/>
    </row>
    <row r="54" spans="1:6" x14ac:dyDescent="0.2">
      <c r="A54" s="553"/>
      <c r="B54" s="325"/>
      <c r="C54" s="325"/>
      <c r="D54" s="325"/>
      <c r="E54" s="325"/>
      <c r="F54" s="325"/>
    </row>
    <row r="55" spans="1:6" x14ac:dyDescent="0.2">
      <c r="A55" s="554"/>
    </row>
    <row r="56" spans="1:6" x14ac:dyDescent="0.2">
      <c r="A56" s="554"/>
    </row>
    <row r="57" spans="1:6" ht="30" customHeight="1" x14ac:dyDescent="0.2">
      <c r="A57" s="554"/>
    </row>
    <row r="58" spans="1:6" x14ac:dyDescent="0.2">
      <c r="A58" s="554"/>
    </row>
    <row r="59" spans="1:6" x14ac:dyDescent="0.2">
      <c r="A59" s="554"/>
    </row>
    <row r="60" spans="1:6" x14ac:dyDescent="0.2">
      <c r="A60" s="554"/>
    </row>
    <row r="70" spans="2:3" x14ac:dyDescent="0.2">
      <c r="B70" s="321">
        <v>25247.13</v>
      </c>
      <c r="C70" s="321">
        <v>25284.13</v>
      </c>
    </row>
    <row r="71" spans="2:3" x14ac:dyDescent="0.2">
      <c r="B71" s="536">
        <f>+C9</f>
        <v>25450.446225999996</v>
      </c>
      <c r="C71" s="536">
        <f>+C11</f>
        <v>25918.496225999996</v>
      </c>
    </row>
    <row r="72" spans="2:3" x14ac:dyDescent="0.2">
      <c r="B72" s="536">
        <f>+B70-B71</f>
        <v>-203.31622599999537</v>
      </c>
      <c r="C72" s="536">
        <f>+C70-C71</f>
        <v>-634.36622599999464</v>
      </c>
    </row>
  </sheetData>
  <mergeCells count="17">
    <mergeCell ref="F15:F16"/>
    <mergeCell ref="A36:F36"/>
    <mergeCell ref="C9:D9"/>
    <mergeCell ref="A10:B10"/>
    <mergeCell ref="C10:D10"/>
    <mergeCell ref="C11:D11"/>
    <mergeCell ref="A15:A16"/>
    <mergeCell ref="B15:B16"/>
    <mergeCell ref="C15:C16"/>
    <mergeCell ref="D15:D16"/>
    <mergeCell ref="A8:B8"/>
    <mergeCell ref="C8:D8"/>
    <mergeCell ref="A4:B4"/>
    <mergeCell ref="C4:D4"/>
    <mergeCell ref="C5:D5"/>
    <mergeCell ref="C6:D6"/>
    <mergeCell ref="C7:D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topLeftCell="A34" workbookViewId="0">
      <selection activeCell="A43" sqref="A43:A46"/>
    </sheetView>
  </sheetViews>
  <sheetFormatPr defaultColWidth="9.140625" defaultRowHeight="14.25" x14ac:dyDescent="0.2"/>
  <cols>
    <col min="1" max="1" width="55.7109375" style="649" customWidth="1"/>
    <col min="2" max="2" width="13.85546875" style="649" customWidth="1"/>
    <col min="3" max="3" width="10.42578125" style="649" customWidth="1"/>
    <col min="4" max="5" width="23.7109375" style="649" customWidth="1"/>
    <col min="6" max="6" width="21.7109375" style="649" customWidth="1"/>
    <col min="7" max="7" width="12.7109375" style="649" customWidth="1"/>
    <col min="8" max="8" width="18.5703125" style="321" customWidth="1"/>
    <col min="9" max="13" width="9.140625" style="321" customWidth="1"/>
    <col min="14" max="14" width="55.42578125" style="321" bestFit="1" customWidth="1"/>
    <col min="15" max="15" width="15.140625" style="321" bestFit="1" customWidth="1"/>
    <col min="16" max="16" width="12.85546875" style="321" bestFit="1" customWidth="1"/>
    <col min="17" max="17" width="9.140625" style="321"/>
    <col min="18" max="18" width="15.140625" style="321" bestFit="1" customWidth="1"/>
    <col min="19" max="19" width="9.42578125" style="321" bestFit="1" customWidth="1"/>
    <col min="20" max="20" width="14.85546875" style="649" bestFit="1" customWidth="1"/>
    <col min="21" max="21" width="9.140625" style="649"/>
    <col min="22" max="22" width="10.28515625" style="649" bestFit="1" customWidth="1"/>
    <col min="23" max="16384" width="9.140625" style="649"/>
  </cols>
  <sheetData>
    <row r="1" spans="1:20" ht="15.75" x14ac:dyDescent="0.2">
      <c r="A1" s="1746" t="str">
        <f>'[15]balance sheet P&amp;L'!B1</f>
        <v>MAHARASHTRA STATE POWER GENERATION COMPANY LIMITED [CIN -U40100MH2005SGC153648]</v>
      </c>
      <c r="B1" s="1747"/>
      <c r="C1" s="1747"/>
      <c r="D1" s="1747"/>
      <c r="E1" s="1748"/>
      <c r="F1" s="648"/>
      <c r="G1" s="648"/>
    </row>
    <row r="2" spans="1:20" ht="18.75" x14ac:dyDescent="0.2">
      <c r="A2" s="1749" t="s">
        <v>2440</v>
      </c>
      <c r="B2" s="1750"/>
      <c r="C2" s="1750"/>
      <c r="D2" s="1750"/>
      <c r="E2" s="1751"/>
      <c r="F2" s="648"/>
      <c r="G2" s="648"/>
      <c r="R2" s="536"/>
    </row>
    <row r="3" spans="1:20" ht="16.5" thickBot="1" x14ac:dyDescent="0.25">
      <c r="A3" s="650"/>
      <c r="B3" s="1314"/>
      <c r="C3" s="1314"/>
      <c r="D3" s="1314"/>
      <c r="E3" s="651" t="s">
        <v>832</v>
      </c>
      <c r="F3" s="648"/>
      <c r="G3" s="648"/>
      <c r="R3" s="536"/>
    </row>
    <row r="4" spans="1:20" ht="33.75" customHeight="1" thickBot="1" x14ac:dyDescent="0.25">
      <c r="A4" s="652"/>
      <c r="B4" s="653"/>
      <c r="C4" s="653"/>
      <c r="D4" s="1315" t="str">
        <f>+'[15]balance sheet P&amp;L'!$D$78</f>
        <v>2022-23</v>
      </c>
      <c r="E4" s="1316" t="s">
        <v>2441</v>
      </c>
      <c r="G4" s="648"/>
    </row>
    <row r="5" spans="1:20" ht="14.25" hidden="1" customHeight="1" x14ac:dyDescent="0.2">
      <c r="A5" s="655"/>
      <c r="B5" s="1317"/>
      <c r="C5" s="1317"/>
      <c r="D5" s="1318"/>
      <c r="E5" s="656"/>
      <c r="G5" s="648"/>
      <c r="N5" s="321" t="str">
        <f>+'[15]balance sheet P&amp;L'!B4</f>
        <v>ASSETS</v>
      </c>
      <c r="O5" s="321">
        <f>+'[15]balance sheet P&amp;L'!D4</f>
        <v>0</v>
      </c>
      <c r="P5" s="321">
        <f>+'[15]balance sheet P&amp;L'!E4</f>
        <v>0</v>
      </c>
    </row>
    <row r="6" spans="1:20" ht="15.75" x14ac:dyDescent="0.2">
      <c r="A6" s="657" t="s">
        <v>2442</v>
      </c>
      <c r="B6" s="1319"/>
      <c r="C6" s="1319"/>
      <c r="D6" s="1320"/>
      <c r="E6" s="658"/>
      <c r="G6" s="648"/>
      <c r="N6" s="321" t="str">
        <f>+'[15]balance sheet P&amp;L'!B5</f>
        <v>Non-Current Assets</v>
      </c>
      <c r="O6" s="321">
        <f>+'[15]balance sheet P&amp;L'!D5</f>
        <v>0</v>
      </c>
      <c r="P6" s="321">
        <f>+'[15]balance sheet P&amp;L'!E5</f>
        <v>0</v>
      </c>
      <c r="T6" s="659">
        <f>+D7</f>
        <v>-810.82052673700082</v>
      </c>
    </row>
    <row r="7" spans="1:20" ht="15.75" x14ac:dyDescent="0.2">
      <c r="A7" s="660" t="s">
        <v>2443</v>
      </c>
      <c r="B7" s="1321"/>
      <c r="C7" s="1321"/>
      <c r="D7" s="1322">
        <f>+'[15]balance sheet P&amp;L'!D108</f>
        <v>-810.82052673700082</v>
      </c>
      <c r="E7" s="1323">
        <f>+'[15]balance sheet P&amp;L'!E108</f>
        <v>-1682.8841725980021</v>
      </c>
      <c r="F7" s="648"/>
      <c r="G7" s="648"/>
      <c r="H7" s="661"/>
      <c r="N7" s="321" t="str">
        <f>+'[15]balance sheet P&amp;L'!B6</f>
        <v xml:space="preserve">    Property, Plant &amp; Equipment</v>
      </c>
      <c r="O7" s="321">
        <f>+'[15]balance sheet P&amp;L'!D6</f>
        <v>31040.513030772992</v>
      </c>
      <c r="P7" s="321">
        <f>+'[15]balance sheet P&amp;L'!E6</f>
        <v>32774.723769055985</v>
      </c>
      <c r="R7" s="321">
        <f>+O7-P7</f>
        <v>-1734.2107382829927</v>
      </c>
      <c r="S7" s="536">
        <f>+R7+R10+R12+R13+D10</f>
        <v>2396.2031449670067</v>
      </c>
    </row>
    <row r="8" spans="1:20" ht="15.75" x14ac:dyDescent="0.2">
      <c r="A8" s="655"/>
      <c r="B8" s="1317"/>
      <c r="C8" s="1317"/>
      <c r="D8" s="1322"/>
      <c r="E8" s="1324"/>
      <c r="G8" s="648"/>
      <c r="H8" s="661"/>
    </row>
    <row r="9" spans="1:20" ht="32.25" customHeight="1" x14ac:dyDescent="0.2">
      <c r="A9" s="1752" t="s">
        <v>2444</v>
      </c>
      <c r="B9" s="1753"/>
      <c r="C9" s="1753"/>
      <c r="D9" s="1322"/>
      <c r="E9" s="1324"/>
      <c r="G9" s="648"/>
      <c r="H9" s="661"/>
    </row>
    <row r="10" spans="1:20" ht="15" x14ac:dyDescent="0.2">
      <c r="A10" s="660" t="s">
        <v>2445</v>
      </c>
      <c r="B10" s="1321"/>
      <c r="C10" s="1321"/>
      <c r="D10" s="1325">
        <f>+'[15]balance sheet P&amp;L'!D89</f>
        <v>2842.8386249599998</v>
      </c>
      <c r="E10" s="1324">
        <f>+'[15]balance sheet P&amp;L'!E89</f>
        <v>2788.0829005650003</v>
      </c>
      <c r="G10" s="648"/>
      <c r="H10" s="661"/>
      <c r="N10" s="321" t="str">
        <f>+'[15]balance sheet P&amp;L'!B7</f>
        <v xml:space="preserve">    Capital work in progress</v>
      </c>
      <c r="O10" s="321">
        <f>+'[15]balance sheet P&amp;L'!D7</f>
        <v>5793.8387559570001</v>
      </c>
      <c r="P10" s="321">
        <f>+'[15]balance sheet P&amp;L'!E7</f>
        <v>4703.5082975660007</v>
      </c>
      <c r="R10" s="321">
        <f t="shared" ref="R10:R57" si="0">+O10-P10</f>
        <v>1090.3304583909994</v>
      </c>
    </row>
    <row r="11" spans="1:20" ht="15" hidden="1" x14ac:dyDescent="0.2">
      <c r="A11" s="660" t="s">
        <v>2446</v>
      </c>
      <c r="B11" s="1321"/>
      <c r="C11" s="1321"/>
      <c r="D11" s="1325"/>
      <c r="E11" s="1324"/>
      <c r="G11" s="648"/>
      <c r="H11" s="661"/>
      <c r="N11" s="321" t="str">
        <f>+'[15]balance sheet P&amp;L'!B8</f>
        <v xml:space="preserve">    Right to use assets</v>
      </c>
      <c r="O11" s="321">
        <f>+'[15]balance sheet P&amp;L'!D8</f>
        <v>3419.2373834</v>
      </c>
      <c r="P11" s="321">
        <f>+'[15]balance sheet P&amp;L'!E8</f>
        <v>3673.0598977</v>
      </c>
      <c r="R11" s="321">
        <f t="shared" si="0"/>
        <v>-253.82251429999997</v>
      </c>
    </row>
    <row r="12" spans="1:20" ht="15" hidden="1" x14ac:dyDescent="0.2">
      <c r="A12" s="660" t="s">
        <v>2447</v>
      </c>
      <c r="B12" s="1321"/>
      <c r="C12" s="1321"/>
      <c r="D12" s="1325"/>
      <c r="E12" s="1324"/>
      <c r="G12" s="648"/>
      <c r="H12" s="661"/>
      <c r="N12" s="321" t="str">
        <f>+'[15]balance sheet P&amp;L'!B9</f>
        <v xml:space="preserve">    Intangible assets</v>
      </c>
      <c r="O12" s="321">
        <f>+'[15]balance sheet P&amp;L'!D9</f>
        <v>4.2940700679999964</v>
      </c>
      <c r="P12" s="321">
        <f>+'[15]balance sheet P&amp;L'!E9</f>
        <v>3.1431939830000033</v>
      </c>
      <c r="R12" s="321">
        <f t="shared" si="0"/>
        <v>1.1508760849999931</v>
      </c>
    </row>
    <row r="13" spans="1:20" ht="15" hidden="1" x14ac:dyDescent="0.2">
      <c r="A13" s="660" t="s">
        <v>2448</v>
      </c>
      <c r="B13" s="1321"/>
      <c r="C13" s="1321"/>
      <c r="D13" s="1325"/>
      <c r="E13" s="1324"/>
      <c r="G13" s="648"/>
      <c r="H13" s="661"/>
      <c r="N13" s="321" t="str">
        <f>+'[15]balance sheet P&amp;L'!B10</f>
        <v xml:space="preserve">    Intangible assets under development</v>
      </c>
      <c r="O13" s="321">
        <f>+'[15]balance sheet P&amp;L'!D10</f>
        <v>574.16186102100005</v>
      </c>
      <c r="P13" s="321">
        <f>+'[15]balance sheet P&amp;L'!E10</f>
        <v>378.067937207</v>
      </c>
      <c r="R13" s="321">
        <f t="shared" si="0"/>
        <v>196.09392381400005</v>
      </c>
    </row>
    <row r="14" spans="1:20" ht="15" hidden="1" x14ac:dyDescent="0.2">
      <c r="A14" s="660" t="s">
        <v>2449</v>
      </c>
      <c r="B14" s="1321"/>
      <c r="C14" s="1321"/>
      <c r="D14" s="1325"/>
      <c r="E14" s="1324"/>
      <c r="F14" s="648"/>
      <c r="G14" s="648"/>
      <c r="H14" s="661"/>
      <c r="N14" s="321" t="str">
        <f>+'[15]balance sheet P&amp;L'!B11</f>
        <v xml:space="preserve">    Financial Assets</v>
      </c>
      <c r="O14" s="321">
        <f>+'[15]balance sheet P&amp;L'!D11</f>
        <v>0</v>
      </c>
      <c r="P14" s="321">
        <f>+'[15]balance sheet P&amp;L'!E11</f>
        <v>0</v>
      </c>
      <c r="R14" s="321">
        <f t="shared" si="0"/>
        <v>0</v>
      </c>
    </row>
    <row r="15" spans="1:20" ht="15" hidden="1" x14ac:dyDescent="0.2">
      <c r="A15" s="660" t="s">
        <v>2450</v>
      </c>
      <c r="B15" s="1321"/>
      <c r="C15" s="1321"/>
      <c r="D15" s="1325"/>
      <c r="E15" s="1324"/>
      <c r="G15" s="648"/>
      <c r="H15" s="661"/>
      <c r="N15" s="321" t="str">
        <f>+'[15]balance sheet P&amp;L'!B12</f>
        <v xml:space="preserve">        - Investment in subsidiaries and associates</v>
      </c>
      <c r="O15" s="321">
        <f>+'[15]balance sheet P&amp;L'!D12</f>
        <v>2.3909302000000068</v>
      </c>
      <c r="P15" s="321">
        <f>+'[15]balance sheet P&amp;L'!E12</f>
        <v>2.2916032999999985</v>
      </c>
      <c r="R15" s="321">
        <f t="shared" si="0"/>
        <v>9.9326900000008322E-2</v>
      </c>
    </row>
    <row r="16" spans="1:20" ht="15" hidden="1" x14ac:dyDescent="0.2">
      <c r="A16" s="660" t="s">
        <v>2451</v>
      </c>
      <c r="B16" s="1321"/>
      <c r="C16" s="1321"/>
      <c r="D16" s="1325"/>
      <c r="E16" s="1324"/>
      <c r="G16" s="648"/>
      <c r="H16" s="661"/>
      <c r="S16" s="536"/>
    </row>
    <row r="17" spans="1:20" ht="15" hidden="1" x14ac:dyDescent="0.2">
      <c r="A17" s="660" t="s">
        <v>2452</v>
      </c>
      <c r="B17" s="1321"/>
      <c r="C17" s="1321"/>
      <c r="D17" s="1325"/>
      <c r="E17" s="1324"/>
      <c r="G17" s="648"/>
      <c r="H17" s="661"/>
      <c r="N17" s="321" t="str">
        <f>+'[15]balance sheet P&amp;L'!B16</f>
        <v xml:space="preserve">    Other non-current assets</v>
      </c>
      <c r="O17" s="321">
        <f>+'[15]balance sheet P&amp;L'!D16</f>
        <v>621.92883314599806</v>
      </c>
      <c r="P17" s="321">
        <f>+'[15]balance sheet P&amp;L'!E16</f>
        <v>431.95504896200032</v>
      </c>
      <c r="R17" s="321">
        <f t="shared" si="0"/>
        <v>189.97378418399774</v>
      </c>
    </row>
    <row r="18" spans="1:20" ht="15" hidden="1" x14ac:dyDescent="0.2">
      <c r="A18" s="660" t="s">
        <v>2453</v>
      </c>
      <c r="B18" s="1321"/>
      <c r="C18" s="1321"/>
      <c r="D18" s="1325"/>
      <c r="E18" s="1324"/>
      <c r="G18" s="648"/>
      <c r="H18" s="661"/>
      <c r="N18" s="321" t="str">
        <f>+'[15]balance sheet P&amp;L'!B17</f>
        <v xml:space="preserve">   Total Non Current Assets</v>
      </c>
      <c r="O18" s="321">
        <f>+'[15]balance sheet P&amp;L'!D17</f>
        <v>41547.571068564997</v>
      </c>
      <c r="P18" s="321">
        <f>+'[15]balance sheet P&amp;L'!E17</f>
        <v>42055.811810573992</v>
      </c>
      <c r="R18" s="321">
        <f t="shared" si="0"/>
        <v>-508.24074200899486</v>
      </c>
    </row>
    <row r="19" spans="1:20" ht="15" x14ac:dyDescent="0.2">
      <c r="A19" s="660" t="s">
        <v>2454</v>
      </c>
      <c r="B19" s="1321"/>
      <c r="C19" s="1321"/>
      <c r="D19" s="1325">
        <f>'[15]balance sheet P&amp;L'!D88</f>
        <v>3493.1497996790008</v>
      </c>
      <c r="E19" s="1324">
        <f>'[15]balance sheet P&amp;L'!E88</f>
        <v>3523.5377632460004</v>
      </c>
      <c r="G19" s="648"/>
      <c r="H19" s="661"/>
      <c r="N19" s="321" t="str">
        <f>+'[15]balance sheet P&amp;L'!B18</f>
        <v>Current Assets</v>
      </c>
      <c r="O19" s="321">
        <f>+'[15]balance sheet P&amp;L'!D18</f>
        <v>0</v>
      </c>
      <c r="P19" s="321">
        <f>+'[15]balance sheet P&amp;L'!E18</f>
        <v>0</v>
      </c>
      <c r="R19" s="321">
        <f t="shared" si="0"/>
        <v>0</v>
      </c>
    </row>
    <row r="20" spans="1:20" ht="15" x14ac:dyDescent="0.2">
      <c r="A20" s="660" t="s">
        <v>165</v>
      </c>
      <c r="B20" s="1321"/>
      <c r="C20" s="1321"/>
      <c r="D20" s="1325">
        <f>(-'[15]Profit &amp; Loss Grouping'!D76+'[15]Profit &amp; Loss Grouping'!E311)</f>
        <v>5.5115138110000004</v>
      </c>
      <c r="E20" s="1324">
        <f>(-'[15]Profit &amp; Loss Grouping'!F76+'[15]Profit &amp; Loss Grouping'!G311)</f>
        <v>1.337666536</v>
      </c>
      <c r="G20" s="648"/>
      <c r="H20" s="661"/>
      <c r="N20" s="321" t="str">
        <f>+'[15]balance sheet P&amp;L'!B19</f>
        <v xml:space="preserve">    Inventories</v>
      </c>
      <c r="O20" s="321">
        <f>+'[15]balance sheet P&amp;L'!D19</f>
        <v>2114.7825896700001</v>
      </c>
      <c r="P20" s="321">
        <f>+'[15]balance sheet P&amp;L'!E19</f>
        <v>1255.7611796319995</v>
      </c>
      <c r="R20" s="321">
        <f t="shared" si="0"/>
        <v>859.02141003800057</v>
      </c>
    </row>
    <row r="21" spans="1:20" ht="15" x14ac:dyDescent="0.2">
      <c r="A21" s="660" t="s">
        <v>167</v>
      </c>
      <c r="B21" s="1321"/>
      <c r="C21" s="1321"/>
      <c r="D21" s="1325">
        <f>+'[15]balance sheet P&amp;L'!D418</f>
        <v>10.746824050000001</v>
      </c>
      <c r="E21" s="1324">
        <f>+'[15]balance sheet P&amp;L'!E418</f>
        <v>106.753225925</v>
      </c>
      <c r="G21" s="648"/>
      <c r="H21" s="661"/>
      <c r="N21" s="321" t="str">
        <f>+'[15]balance sheet P&amp;L'!B20</f>
        <v xml:space="preserve">    Financial Assets</v>
      </c>
      <c r="O21" s="321">
        <f>+'[15]balance sheet P&amp;L'!D20</f>
        <v>0</v>
      </c>
      <c r="P21" s="321">
        <f>+'[15]balance sheet P&amp;L'!E20</f>
        <v>0</v>
      </c>
      <c r="R21" s="321">
        <f t="shared" si="0"/>
        <v>0</v>
      </c>
    </row>
    <row r="22" spans="1:20" ht="15" x14ac:dyDescent="0.2">
      <c r="A22" s="660" t="s">
        <v>169</v>
      </c>
      <c r="B22" s="1321"/>
      <c r="C22" s="1321"/>
      <c r="D22" s="1325"/>
      <c r="E22" s="1324"/>
      <c r="F22" s="648"/>
      <c r="G22" s="648"/>
      <c r="H22" s="661"/>
    </row>
    <row r="23" spans="1:20" ht="15" x14ac:dyDescent="0.2">
      <c r="A23" s="660" t="s">
        <v>171</v>
      </c>
      <c r="B23" s="1321"/>
      <c r="C23" s="1321"/>
      <c r="D23" s="1325">
        <f>-'[15]balance sheet P&amp;L'!D360</f>
        <v>-0.22902478000000004</v>
      </c>
      <c r="E23" s="1324">
        <f>-'[15]balance sheet P&amp;L'!E360</f>
        <v>-0.16887729600000001</v>
      </c>
      <c r="G23" s="648"/>
      <c r="H23" s="661"/>
      <c r="N23" s="321" t="str">
        <f>+'[15]balance sheet P&amp;L'!B21</f>
        <v xml:space="preserve">          - Trade receivables  </v>
      </c>
      <c r="O23" s="321">
        <f>+'[15]balance sheet P&amp;L'!D21</f>
        <v>31567.394643867003</v>
      </c>
      <c r="P23" s="321">
        <f>+'[15]balance sheet P&amp;L'!E21</f>
        <v>28457.271091587001</v>
      </c>
      <c r="R23" s="321">
        <f t="shared" si="0"/>
        <v>3110.1235522800016</v>
      </c>
    </row>
    <row r="24" spans="1:20" ht="15" x14ac:dyDescent="0.2">
      <c r="A24" s="660" t="s">
        <v>173</v>
      </c>
      <c r="B24" s="1321"/>
      <c r="C24" s="1321"/>
      <c r="D24" s="1326">
        <f>(+'[15]balance sheet P&amp;L'!D199-'[15]balance sheet P&amp;L'!E199)</f>
        <v>16.286792219000006</v>
      </c>
      <c r="E24" s="1327">
        <f>+'[15]balance sheet P&amp;L'!E199-'[15]balance sheet P&amp;L'!F199</f>
        <v>54.44408564500003</v>
      </c>
      <c r="G24" s="648"/>
      <c r="H24" s="661"/>
      <c r="N24" s="321" t="str">
        <f>+'[15]balance sheet P&amp;L'!B22</f>
        <v xml:space="preserve">          - Cash and cash equivalents</v>
      </c>
      <c r="O24" s="321">
        <f>+'[15]balance sheet P&amp;L'!D22</f>
        <v>263.67808044699996</v>
      </c>
      <c r="P24" s="321">
        <f>+'[15]balance sheet P&amp;L'!E22</f>
        <v>11.787264494000002</v>
      </c>
      <c r="R24" s="321">
        <f t="shared" si="0"/>
        <v>251.89081595299996</v>
      </c>
    </row>
    <row r="25" spans="1:20" ht="15.75" x14ac:dyDescent="0.2">
      <c r="A25" s="662" t="s">
        <v>2455</v>
      </c>
      <c r="B25" s="1328"/>
      <c r="C25" s="1328"/>
      <c r="D25" s="1322">
        <f>SUM(D7:D24)</f>
        <v>5557.4840032020002</v>
      </c>
      <c r="E25" s="1323">
        <f>SUM(E7:E24)</f>
        <v>4791.1025920229995</v>
      </c>
      <c r="G25" s="648"/>
      <c r="H25" s="661"/>
      <c r="N25" s="321" t="str">
        <f>+'[15]balance sheet P&amp;L'!B23</f>
        <v xml:space="preserve">          - Loans</v>
      </c>
      <c r="O25" s="321">
        <f>+'[15]balance sheet P&amp;L'!D23</f>
        <v>1.781401367</v>
      </c>
      <c r="P25" s="321">
        <f>+'[15]balance sheet P&amp;L'!E23</f>
        <v>5.3623333400000002</v>
      </c>
      <c r="R25" s="321">
        <f t="shared" si="0"/>
        <v>-3.5809319730000002</v>
      </c>
      <c r="T25" s="659">
        <f>+T6</f>
        <v>-810.82052673700082</v>
      </c>
    </row>
    <row r="26" spans="1:20" ht="15" customHeight="1" x14ac:dyDescent="0.2">
      <c r="A26" s="655"/>
      <c r="B26" s="1317"/>
      <c r="C26" s="1317"/>
      <c r="D26" s="1322"/>
      <c r="E26" s="1324"/>
      <c r="G26" s="648"/>
      <c r="H26" s="661"/>
      <c r="N26" s="321" t="str">
        <f>+'[15]balance sheet P&amp;L'!B24</f>
        <v xml:space="preserve">          - Other financial assets</v>
      </c>
      <c r="O26" s="321">
        <f>+'[15]balance sheet P&amp;L'!D24</f>
        <v>326.40493493700001</v>
      </c>
      <c r="P26" s="321">
        <f>+'[15]balance sheet P&amp;L'!E24</f>
        <v>325.33570108999999</v>
      </c>
      <c r="R26" s="321">
        <f t="shared" si="0"/>
        <v>1.0692338470000209</v>
      </c>
    </row>
    <row r="27" spans="1:20" ht="15.75" x14ac:dyDescent="0.2">
      <c r="A27" s="662" t="s">
        <v>2456</v>
      </c>
      <c r="B27" s="1328"/>
      <c r="C27" s="1328"/>
      <c r="D27" s="1322"/>
      <c r="E27" s="1324"/>
      <c r="G27" s="648"/>
      <c r="H27" s="661"/>
      <c r="N27" s="321" t="str">
        <f>+'[15]balance sheet P&amp;L'!B25</f>
        <v xml:space="preserve">    Other current assets</v>
      </c>
      <c r="O27" s="321">
        <f>+'[15]balance sheet P&amp;L'!D25</f>
        <v>905.532191356</v>
      </c>
      <c r="P27" s="321">
        <f>+'[15]balance sheet P&amp;L'!E25</f>
        <v>895.69076327599987</v>
      </c>
      <c r="R27" s="321">
        <f t="shared" si="0"/>
        <v>9.8414280800001279</v>
      </c>
    </row>
    <row r="28" spans="1:20" ht="15" x14ac:dyDescent="0.2">
      <c r="A28" s="660" t="s">
        <v>2457</v>
      </c>
      <c r="B28" s="1321"/>
      <c r="C28" s="1321"/>
      <c r="D28" s="1325">
        <f>-'[15]balance sheet P&amp;L'!J21-D21</f>
        <v>-3120.8703763300018</v>
      </c>
      <c r="E28" s="1324">
        <f>-'[15]balance sheet P&amp;L'!K21-E21</f>
        <v>-1339.2993059929975</v>
      </c>
      <c r="G28" s="648"/>
      <c r="H28" s="661"/>
      <c r="N28" s="321" t="str">
        <f>+'[15]balance sheet P&amp;L'!B28</f>
        <v xml:space="preserve">    Assets classified as held for sale / disposal</v>
      </c>
      <c r="O28" s="321">
        <f>+'[15]balance sheet P&amp;L'!D28</f>
        <v>119.54817991200002</v>
      </c>
      <c r="P28" s="321">
        <f>+'[15]balance sheet P&amp;L'!E28</f>
        <v>121.03762497100001</v>
      </c>
      <c r="R28" s="321">
        <f t="shared" si="0"/>
        <v>-1.4894450589999906</v>
      </c>
      <c r="S28" s="321">
        <f>+R7+R10+R16+R20+R23+R25+R26+R27+R28+R12+R13+R15+R17</f>
        <v>3718.4228783040071</v>
      </c>
      <c r="T28" s="649">
        <f>-(+R16+R23)</f>
        <v>-3110.1235522800016</v>
      </c>
    </row>
    <row r="29" spans="1:20" ht="15" x14ac:dyDescent="0.2">
      <c r="A29" s="660" t="s">
        <v>2458</v>
      </c>
      <c r="B29" s="1321"/>
      <c r="C29" s="1321"/>
      <c r="D29" s="1325">
        <f>-(+'[15]balance sheet P&amp;L'!J15+'[15]balance sheet P&amp;L'!J16+'[15]balance sheet P&amp;L'!J23+'[15]balance sheet P&amp;L'!J24+'[15]balance sheet P&amp;L'!J25+'[15]balance sheet P&amp;L'!J28)-'[15]balance sheet P&amp;L'!J13</f>
        <v>-197.95821027899791</v>
      </c>
      <c r="E29" s="1324">
        <f>-(+'[15]balance sheet P&amp;L'!K16+'[15]balance sheet P&amp;L'!K23+'[15]balance sheet P&amp;L'!K24+'[15]balance sheet P&amp;L'!K25+'[15]balance sheet P&amp;L'!K28)-'[15]balance sheet P&amp;L'!K13</f>
        <v>-85.623824101000409</v>
      </c>
      <c r="F29" s="648"/>
      <c r="G29" s="648"/>
      <c r="H29" s="661"/>
      <c r="N29" s="321" t="str">
        <f>+'[15]balance sheet P&amp;L'!B29</f>
        <v xml:space="preserve">  Total Other Assets</v>
      </c>
      <c r="O29" s="321">
        <f>+'[15]balance sheet P&amp;L'!D29</f>
        <v>119.54817991200002</v>
      </c>
      <c r="P29" s="321">
        <f>+'[15]balance sheet P&amp;L'!E29</f>
        <v>121.03762497100001</v>
      </c>
      <c r="R29" s="321">
        <f t="shared" si="0"/>
        <v>-1.4894450589999906</v>
      </c>
      <c r="T29" s="649">
        <f>-(+R17+R25+R26+R27+R28)</f>
        <v>-195.8140690789979</v>
      </c>
    </row>
    <row r="30" spans="1:20" ht="15" x14ac:dyDescent="0.2">
      <c r="A30" s="660" t="s">
        <v>2459</v>
      </c>
      <c r="B30" s="1321"/>
      <c r="C30" s="1321"/>
      <c r="D30" s="1325">
        <f>-('[15]balance sheet P&amp;L'!J19)-D24</f>
        <v>-875.30820225700063</v>
      </c>
      <c r="E30" s="1324">
        <f>-('[15]balance sheet P&amp;L'!K19)-E24</f>
        <v>-380.11987649899964</v>
      </c>
      <c r="G30" s="648"/>
      <c r="H30" s="661"/>
      <c r="N30" s="321" t="str">
        <f>+'[15]balance sheet P&amp;L'!B30</f>
        <v>TOTAL ASSETS</v>
      </c>
      <c r="O30" s="321">
        <f>+'[15]balance sheet P&amp;L'!D30</f>
        <v>76846.693090121</v>
      </c>
      <c r="P30" s="321">
        <f>+'[15]balance sheet P&amp;L'!E30</f>
        <v>73128.05776896399</v>
      </c>
      <c r="R30" s="321">
        <f t="shared" si="0"/>
        <v>3718.6353211570095</v>
      </c>
      <c r="T30" s="649">
        <f>-R20</f>
        <v>-859.02141003800057</v>
      </c>
    </row>
    <row r="31" spans="1:20" ht="15" x14ac:dyDescent="0.2">
      <c r="A31" s="660" t="s">
        <v>186</v>
      </c>
      <c r="B31" s="1321"/>
      <c r="C31" s="1321"/>
      <c r="D31" s="1326">
        <f>SUM('[15]balance sheet P&amp;L'!J51:J56)+'[15]balance sheet P&amp;L'!J43+'[15]balance sheet P&amp;L'!J44+'[15]balance sheet P&amp;L'!J45+'[15]balance sheet P&amp;L'!J46-D99-D20-D55-D57-'[15]Profit &amp; Loss Grouping'!D207</f>
        <v>1670.3599325849998</v>
      </c>
      <c r="E31" s="1324">
        <f>62.3143159259996-'[15]Profit &amp; Loss Grouping'!F207-'[15]Balance sheet groupings'!E789</f>
        <v>-286.2406574620004</v>
      </c>
      <c r="F31" s="648"/>
      <c r="G31" s="648"/>
      <c r="H31" s="661"/>
    </row>
    <row r="32" spans="1:20" ht="15.75" x14ac:dyDescent="0.2">
      <c r="A32" s="663" t="s">
        <v>2460</v>
      </c>
      <c r="B32" s="1329"/>
      <c r="C32" s="1329"/>
      <c r="D32" s="1322">
        <f>SUM(D28:D31)</f>
        <v>-2523.7768562810006</v>
      </c>
      <c r="E32" s="1330">
        <f>SUM(E28:E31)</f>
        <v>-2091.2836640549976</v>
      </c>
      <c r="G32" s="648"/>
      <c r="H32" s="661"/>
      <c r="N32" s="321" t="str">
        <f>+'[15]balance sheet P&amp;L'!B32</f>
        <v>EQUITY AND LIABILITIES</v>
      </c>
      <c r="O32" s="321">
        <f>+'[15]balance sheet P&amp;L'!D32</f>
        <v>0</v>
      </c>
      <c r="P32" s="321">
        <f>+'[15]balance sheet P&amp;L'!E32</f>
        <v>0</v>
      </c>
      <c r="R32" s="321">
        <f t="shared" si="0"/>
        <v>0</v>
      </c>
    </row>
    <row r="33" spans="1:20" ht="15.75" x14ac:dyDescent="0.2">
      <c r="A33" s="655"/>
      <c r="B33" s="1317"/>
      <c r="C33" s="1317"/>
      <c r="D33" s="1322"/>
      <c r="E33" s="1323"/>
      <c r="G33" s="648"/>
      <c r="H33" s="661"/>
      <c r="N33" s="321" t="str">
        <f>+'[15]balance sheet P&amp;L'!B33</f>
        <v>Equity</v>
      </c>
      <c r="O33" s="321">
        <f>+'[15]balance sheet P&amp;L'!D33</f>
        <v>0</v>
      </c>
      <c r="P33" s="321">
        <f>+'[15]balance sheet P&amp;L'!E33</f>
        <v>0</v>
      </c>
      <c r="R33" s="321">
        <f t="shared" si="0"/>
        <v>0</v>
      </c>
    </row>
    <row r="34" spans="1:20" ht="15.75" x14ac:dyDescent="0.2">
      <c r="A34" s="662" t="s">
        <v>2461</v>
      </c>
      <c r="B34" s="1328"/>
      <c r="C34" s="1328"/>
      <c r="D34" s="1322">
        <f>+D25+D32</f>
        <v>3033.7071469209995</v>
      </c>
      <c r="E34" s="1323">
        <f>+E25+E32</f>
        <v>2699.8189279680018</v>
      </c>
      <c r="G34" s="648"/>
      <c r="H34" s="661"/>
      <c r="N34" s="321" t="str">
        <f>+'[15]balance sheet P&amp;L'!B34</f>
        <v xml:space="preserve">    Equity Share capital</v>
      </c>
      <c r="O34" s="321">
        <f>+'[15]balance sheet P&amp;L'!D34</f>
        <v>25918.496225999996</v>
      </c>
      <c r="P34" s="321">
        <f>+'[15]balance sheet P&amp;L'!E34</f>
        <v>25450.446225999996</v>
      </c>
      <c r="R34" s="321">
        <f t="shared" si="0"/>
        <v>468.04999999999927</v>
      </c>
      <c r="T34" s="659"/>
    </row>
    <row r="35" spans="1:20" ht="15.75" customHeight="1" x14ac:dyDescent="0.2">
      <c r="A35" s="655"/>
      <c r="B35" s="1317"/>
      <c r="C35" s="1317"/>
      <c r="D35" s="1322"/>
      <c r="E35" s="1323"/>
      <c r="G35" s="648"/>
      <c r="H35" s="661"/>
      <c r="N35" s="321" t="str">
        <f>+'[15]balance sheet P&amp;L'!B35</f>
        <v xml:space="preserve">    Other Equity</v>
      </c>
      <c r="O35" s="321">
        <f>+'[15]balance sheet P&amp;L'!D35</f>
        <v>-8942.7472974869852</v>
      </c>
      <c r="P35" s="321">
        <f>+'[15]balance sheet P&amp;L'!E35</f>
        <v>-7755.0177741439893</v>
      </c>
      <c r="R35" s="321">
        <f t="shared" si="0"/>
        <v>-1187.7295233429959</v>
      </c>
    </row>
    <row r="36" spans="1:20" ht="15.75" x14ac:dyDescent="0.2">
      <c r="A36" s="660" t="s">
        <v>2462</v>
      </c>
      <c r="B36" s="1321"/>
      <c r="C36" s="1321"/>
      <c r="D36" s="1331"/>
      <c r="E36" s="1332"/>
      <c r="G36" s="648"/>
      <c r="H36" s="661"/>
    </row>
    <row r="37" spans="1:20" ht="15.75" x14ac:dyDescent="0.2">
      <c r="A37" s="662" t="s">
        <v>2463</v>
      </c>
      <c r="B37" s="1328"/>
      <c r="C37" s="1328"/>
      <c r="D37" s="1333">
        <f>+D34-D36</f>
        <v>3033.7071469209995</v>
      </c>
      <c r="E37" s="1334">
        <f>+E34-E36</f>
        <v>2699.8189279680018</v>
      </c>
      <c r="G37" s="648"/>
      <c r="H37" s="661"/>
      <c r="T37" s="664"/>
    </row>
    <row r="38" spans="1:20" ht="15" customHeight="1" x14ac:dyDescent="0.2">
      <c r="A38" s="655"/>
      <c r="B38" s="1317"/>
      <c r="C38" s="1317"/>
      <c r="D38" s="1322"/>
      <c r="E38" s="1323"/>
      <c r="G38" s="648"/>
      <c r="H38" s="661"/>
      <c r="N38" s="321" t="str">
        <f>+'[15]balance sheet P&amp;L'!B38</f>
        <v>Total Equity</v>
      </c>
      <c r="O38" s="321">
        <f>+'[15]balance sheet P&amp;L'!D38</f>
        <v>16975.74892851301</v>
      </c>
      <c r="P38" s="321">
        <f>+'[15]balance sheet P&amp;L'!E38</f>
        <v>17695.428451856009</v>
      </c>
      <c r="R38" s="321">
        <f t="shared" si="0"/>
        <v>-719.67952334299844</v>
      </c>
    </row>
    <row r="39" spans="1:20" ht="15.75" x14ac:dyDescent="0.2">
      <c r="A39" s="657" t="s">
        <v>2464</v>
      </c>
      <c r="B39" s="1319"/>
      <c r="C39" s="1319"/>
      <c r="D39" s="1322"/>
      <c r="E39" s="1323"/>
      <c r="G39" s="648"/>
      <c r="H39" s="661"/>
      <c r="N39" s="321" t="str">
        <f>+'[15]balance sheet P&amp;L'!B39</f>
        <v>Liabilities</v>
      </c>
      <c r="O39" s="321">
        <f>+'[15]balance sheet P&amp;L'!D39</f>
        <v>0</v>
      </c>
      <c r="P39" s="321">
        <f>+'[15]balance sheet P&amp;L'!E39</f>
        <v>0</v>
      </c>
      <c r="R39" s="321">
        <f t="shared" si="0"/>
        <v>0</v>
      </c>
    </row>
    <row r="40" spans="1:20" ht="15" x14ac:dyDescent="0.2">
      <c r="A40" s="1754" t="s">
        <v>2465</v>
      </c>
      <c r="B40" s="1755"/>
      <c r="C40" s="1755"/>
      <c r="D40" s="1325">
        <f>-(+'[15]balance sheet P&amp;L'!J6+'[15]balance sheet P&amp;L'!J7+'[15]balance sheet P&amp;L'!J8+'[15]balance sheet P&amp;L'!J9+'[15]balance sheet P&amp;L'!J10)-D10-D41</f>
        <v>-2145.4841699650069</v>
      </c>
      <c r="E40" s="1324">
        <f>-(+'[15]balance sheet P&amp;L'!K6+'[15]balance sheet P&amp;L'!K7+'[15]balance sheet P&amp;L'!K8+'[15]balance sheet P&amp;L'!K9+'[15]balance sheet P&amp;L'!K10)-E10-E41</f>
        <v>-3204.0392277089891</v>
      </c>
      <c r="F40" s="648"/>
      <c r="G40" s="648"/>
      <c r="H40" s="661"/>
      <c r="N40" s="321" t="str">
        <f>+'[15]balance sheet P&amp;L'!B40</f>
        <v>Non Current Liabilities</v>
      </c>
      <c r="O40" s="321">
        <f>+'[15]balance sheet P&amp;L'!D40</f>
        <v>0</v>
      </c>
      <c r="P40" s="321">
        <f>+'[15]balance sheet P&amp;L'!E40</f>
        <v>0</v>
      </c>
      <c r="R40" s="321">
        <f t="shared" si="0"/>
        <v>0</v>
      </c>
      <c r="T40" s="649">
        <f>-(+R7+R10+R12+R13)</f>
        <v>446.63547999299328</v>
      </c>
    </row>
    <row r="41" spans="1:20" ht="15" x14ac:dyDescent="0.2">
      <c r="A41" s="660" t="s">
        <v>2466</v>
      </c>
      <c r="B41" s="1335"/>
      <c r="C41" s="1335"/>
      <c r="D41" s="1325">
        <f>'[15]FA Final'!P12+'[15]Note 1A'!C33</f>
        <v>3.1035392980000003</v>
      </c>
      <c r="E41" s="1324">
        <f>'[15]FA Final'!P9+'[15]Note 1A'!E7</f>
        <v>973.51143845799982</v>
      </c>
      <c r="F41" s="648"/>
      <c r="G41" s="648"/>
      <c r="H41" s="661"/>
      <c r="N41" s="321" t="str">
        <f>+'[15]balance sheet P&amp;L'!B41</f>
        <v xml:space="preserve">    Financial liabilities</v>
      </c>
      <c r="O41" s="321">
        <f>+'[15]balance sheet P&amp;L'!D41</f>
        <v>0</v>
      </c>
      <c r="P41" s="321">
        <f>+'[15]balance sheet P&amp;L'!E41</f>
        <v>0</v>
      </c>
      <c r="R41" s="321">
        <f t="shared" si="0"/>
        <v>0</v>
      </c>
    </row>
    <row r="42" spans="1:20" ht="15" hidden="1" x14ac:dyDescent="0.2">
      <c r="A42" s="1754" t="s">
        <v>2467</v>
      </c>
      <c r="B42" s="1755"/>
      <c r="C42" s="1755"/>
      <c r="D42" s="1325"/>
      <c r="E42" s="1324"/>
      <c r="F42" s="648"/>
      <c r="G42" s="648"/>
      <c r="H42" s="661"/>
      <c r="N42" s="321" t="str">
        <f>+'[15]balance sheet P&amp;L'!B42</f>
        <v xml:space="preserve">          - Borrowings</v>
      </c>
      <c r="O42" s="321">
        <f>+'[15]balance sheet P&amp;L'!D42</f>
        <v>24687.339384897426</v>
      </c>
      <c r="P42" s="321">
        <f>+'[15]balance sheet P&amp;L'!E42</f>
        <v>22211.191210778834</v>
      </c>
      <c r="R42" s="321">
        <f t="shared" si="0"/>
        <v>2476.1481741185926</v>
      </c>
    </row>
    <row r="43" spans="1:20" ht="15" x14ac:dyDescent="0.2">
      <c r="A43" s="665" t="s">
        <v>195</v>
      </c>
      <c r="B43" s="1336"/>
      <c r="C43" s="1336"/>
      <c r="D43" s="1325">
        <f>-(+'[15]balance sheet P&amp;L'!J12)</f>
        <v>-9.9326900000008322E-2</v>
      </c>
      <c r="E43" s="1324">
        <f>-(+'[15]balance sheet P&amp;L'!K12)</f>
        <v>-0.18364489999999734</v>
      </c>
      <c r="F43" s="648"/>
      <c r="G43" s="648"/>
      <c r="H43" s="661"/>
      <c r="N43" s="321" t="str">
        <f>+'[15]balance sheet P&amp;L'!B44</f>
        <v xml:space="preserve">    Provisions</v>
      </c>
      <c r="O43" s="321">
        <f>+'[15]balance sheet P&amp;L'!D44</f>
        <v>1153.4486072999998</v>
      </c>
      <c r="P43" s="321">
        <f>+'[15]balance sheet P&amp;L'!E44</f>
        <v>1111.5373132</v>
      </c>
      <c r="R43" s="321">
        <f t="shared" si="0"/>
        <v>41.91129409999985</v>
      </c>
      <c r="T43" s="649">
        <f>-R15</f>
        <v>-9.9326900000008322E-2</v>
      </c>
    </row>
    <row r="44" spans="1:20" ht="15" hidden="1" x14ac:dyDescent="0.2">
      <c r="A44" s="660" t="s">
        <v>2468</v>
      </c>
      <c r="B44" s="1335"/>
      <c r="C44" s="1335"/>
      <c r="D44" s="1325"/>
      <c r="E44" s="1324"/>
      <c r="F44" s="648"/>
      <c r="G44" s="648"/>
      <c r="H44" s="661"/>
      <c r="N44" s="321" t="str">
        <f>+'[15]balance sheet P&amp;L'!B45</f>
        <v xml:space="preserve">    Net Deferred tax liabilities</v>
      </c>
      <c r="O44" s="321">
        <f>+'[15]balance sheet P&amp;L'!D45</f>
        <v>334.28806329999998</v>
      </c>
      <c r="P44" s="321">
        <f>+'[15]balance sheet P&amp;L'!E45</f>
        <v>556.66773599999999</v>
      </c>
      <c r="R44" s="321">
        <f t="shared" si="0"/>
        <v>-222.37967270000001</v>
      </c>
    </row>
    <row r="45" spans="1:20" ht="15" hidden="1" x14ac:dyDescent="0.2">
      <c r="A45" s="660" t="s">
        <v>2469</v>
      </c>
      <c r="B45" s="1335"/>
      <c r="C45" s="1335"/>
      <c r="D45" s="1325"/>
      <c r="E45" s="1324"/>
      <c r="G45" s="648"/>
      <c r="H45" s="661"/>
      <c r="N45" s="321" t="str">
        <f>+'[15]balance sheet P&amp;L'!B46</f>
        <v xml:space="preserve">    Other non-current liabilities</v>
      </c>
      <c r="O45" s="321">
        <f>+'[15]balance sheet P&amp;L'!D46</f>
        <v>654.67374213900007</v>
      </c>
      <c r="P45" s="321">
        <f>+'[15]balance sheet P&amp;L'!E46</f>
        <v>289.46240933900003</v>
      </c>
      <c r="R45" s="321">
        <f t="shared" si="0"/>
        <v>365.21133280000004</v>
      </c>
    </row>
    <row r="46" spans="1:20" ht="15" x14ac:dyDescent="0.2">
      <c r="A46" s="660" t="s">
        <v>196</v>
      </c>
      <c r="B46" s="1335"/>
      <c r="C46" s="1335"/>
      <c r="D46" s="1325">
        <f>-D23</f>
        <v>0.22902478000000004</v>
      </c>
      <c r="E46" s="1324">
        <f>-E23</f>
        <v>0.16887729600000001</v>
      </c>
      <c r="G46" s="648"/>
      <c r="H46" s="661"/>
    </row>
    <row r="47" spans="1:20" ht="15" hidden="1" x14ac:dyDescent="0.2">
      <c r="A47" s="660" t="s">
        <v>2470</v>
      </c>
      <c r="B47" s="1335"/>
      <c r="C47" s="1335"/>
      <c r="D47" s="1325"/>
      <c r="E47" s="1324"/>
      <c r="G47" s="648"/>
      <c r="H47" s="661"/>
      <c r="N47" s="321" t="str">
        <f>+'[15]balance sheet P&amp;L'!B47</f>
        <v>Total Non Current Liabilities</v>
      </c>
      <c r="O47" s="321">
        <f>+'[15]balance sheet P&amp;L'!D47</f>
        <v>29756.309237562011</v>
      </c>
      <c r="P47" s="321">
        <f>+'[15]balance sheet P&amp;L'!E47</f>
        <v>27238.758268041114</v>
      </c>
      <c r="R47" s="321">
        <f t="shared" si="0"/>
        <v>2517.5509695208966</v>
      </c>
      <c r="T47" s="664">
        <f>SUM(T40:T46)</f>
        <v>446.53615309299329</v>
      </c>
    </row>
    <row r="48" spans="1:20" ht="15.75" x14ac:dyDescent="0.2">
      <c r="A48" s="662" t="s">
        <v>2471</v>
      </c>
      <c r="B48" s="1328"/>
      <c r="C48" s="1328"/>
      <c r="D48" s="1331">
        <f>SUM(D40:D47)</f>
        <v>-2142.2509327870066</v>
      </c>
      <c r="E48" s="1332">
        <f>SUM(E40:E47)</f>
        <v>-2230.5425568549895</v>
      </c>
      <c r="G48" s="648"/>
      <c r="H48" s="661"/>
      <c r="N48" s="321" t="str">
        <f>+'[15]balance sheet P&amp;L'!B48</f>
        <v>Current Liabilities</v>
      </c>
      <c r="O48" s="321">
        <f>+'[15]balance sheet P&amp;L'!D48</f>
        <v>0</v>
      </c>
      <c r="P48" s="321">
        <f>+'[15]balance sheet P&amp;L'!E48</f>
        <v>0</v>
      </c>
      <c r="R48" s="321">
        <f t="shared" si="0"/>
        <v>0</v>
      </c>
    </row>
    <row r="49" spans="1:22" ht="15" x14ac:dyDescent="0.2">
      <c r="A49" s="655"/>
      <c r="B49" s="1317"/>
      <c r="C49" s="1317"/>
      <c r="D49" s="1325"/>
      <c r="E49" s="1324"/>
      <c r="G49" s="648"/>
      <c r="H49" s="661"/>
      <c r="N49" s="321" t="str">
        <f>+'[15]balance sheet P&amp;L'!B49</f>
        <v xml:space="preserve">    Financial liabilities</v>
      </c>
      <c r="O49" s="321">
        <f>+'[15]balance sheet P&amp;L'!D49</f>
        <v>0</v>
      </c>
      <c r="P49" s="321">
        <f>+'[15]balance sheet P&amp;L'!E49</f>
        <v>0</v>
      </c>
      <c r="R49" s="321">
        <f t="shared" si="0"/>
        <v>0</v>
      </c>
    </row>
    <row r="50" spans="1:22" ht="15.75" x14ac:dyDescent="0.2">
      <c r="A50" s="657" t="s">
        <v>2472</v>
      </c>
      <c r="B50" s="1319"/>
      <c r="C50" s="1319"/>
      <c r="D50" s="1325"/>
      <c r="E50" s="1324"/>
      <c r="G50" s="648"/>
      <c r="H50" s="661"/>
      <c r="N50" s="321" t="str">
        <f>+'[15]balance sheet P&amp;L'!B50</f>
        <v xml:space="preserve">          - Borrowings</v>
      </c>
      <c r="O50" s="321">
        <f>+'[15]balance sheet P&amp;L'!D50</f>
        <v>17272.729860049567</v>
      </c>
      <c r="P50" s="321">
        <f>+'[15]balance sheet P&amp;L'!E50</f>
        <v>17299.429266224168</v>
      </c>
      <c r="R50" s="321">
        <f t="shared" si="0"/>
        <v>-26.699406174600881</v>
      </c>
    </row>
    <row r="51" spans="1:22" ht="15" x14ac:dyDescent="0.2">
      <c r="A51" s="660" t="s">
        <v>2473</v>
      </c>
      <c r="B51" s="1321"/>
      <c r="C51" s="1321"/>
      <c r="D51" s="1325">
        <f>('[15]balance sheet P&amp;L'!J42+('[15]balance sheet P&amp;L'!D296-'[15]balance sheet P&amp;L'!E296))*0+D106</f>
        <v>5447.1916111999999</v>
      </c>
      <c r="E51" s="1324">
        <f>+E104</f>
        <v>3388.3492811000001</v>
      </c>
      <c r="F51" s="648"/>
      <c r="G51" s="648"/>
      <c r="H51" s="661"/>
      <c r="N51" s="321" t="str">
        <f>+'[15]balance sheet P&amp;L'!B53</f>
        <v xml:space="preserve">          - Trade payables - Other than MSME</v>
      </c>
      <c r="O51" s="321">
        <f>+'[15]balance sheet P&amp;L'!D53</f>
        <v>8102.969552442999</v>
      </c>
      <c r="P51" s="321">
        <f>+'[15]balance sheet P&amp;L'!E53</f>
        <v>6651.4754589652011</v>
      </c>
      <c r="R51" s="321">
        <f t="shared" si="0"/>
        <v>1451.4940934777978</v>
      </c>
      <c r="T51" s="649">
        <f>+R42</f>
        <v>2476.1481741185926</v>
      </c>
    </row>
    <row r="52" spans="1:22" ht="15" x14ac:dyDescent="0.2">
      <c r="A52" s="660" t="s">
        <v>2474</v>
      </c>
      <c r="B52" s="1321"/>
      <c r="C52" s="1321"/>
      <c r="D52" s="1325">
        <f>-D107-D109</f>
        <v>-3549.0466506030498</v>
      </c>
      <c r="E52" s="1324">
        <f>-(E107+E109)</f>
        <v>-4041.0862028359998</v>
      </c>
      <c r="G52" s="648"/>
      <c r="H52" s="661"/>
      <c r="N52" s="321" t="str">
        <f>+'[15]balance sheet P&amp;L'!B54</f>
        <v xml:space="preserve">          - Other financial liabilities</v>
      </c>
      <c r="O52" s="321">
        <f>+'[15]balance sheet P&amp;L'!D54</f>
        <v>4173.9457693559998</v>
      </c>
      <c r="P52" s="321">
        <f>+'[15]balance sheet P&amp;L'!E54</f>
        <v>3700.7722904539996</v>
      </c>
      <c r="R52" s="321">
        <f t="shared" si="0"/>
        <v>473.17347890200017</v>
      </c>
    </row>
    <row r="53" spans="1:22" ht="15" x14ac:dyDescent="0.2">
      <c r="A53" s="660" t="s">
        <v>2475</v>
      </c>
      <c r="B53" s="1321"/>
      <c r="C53" s="1321"/>
      <c r="D53" s="1325">
        <f>+'[15]balance sheet P&amp;L'!J34+'[15]balance sheet P&amp;L'!D251-'[15]balance sheet P&amp;L'!E251+('[15]balance sheet P&amp;L'!D252-'[15]balance sheet P&amp;L'!E252)</f>
        <v>91.141003426003522</v>
      </c>
      <c r="E53" s="1324">
        <f>+'[15]balance sheet P&amp;L'!K34+'[15]balance sheet P&amp;L'!E251-'[15]balance sheet P&amp;L'!F251</f>
        <v>468.05000845200993</v>
      </c>
      <c r="F53" s="648"/>
      <c r="G53" s="648"/>
      <c r="H53" s="661"/>
      <c r="N53" s="321" t="str">
        <f>+'[15]balance sheet P&amp;L'!B55</f>
        <v xml:space="preserve">    Other current liabilities</v>
      </c>
      <c r="O53" s="321">
        <f>+'[15]balance sheet P&amp;L'!D55</f>
        <v>182.35702072499998</v>
      </c>
      <c r="P53" s="321">
        <f>+'[15]balance sheet P&amp;L'!E55</f>
        <v>113.63238639800001</v>
      </c>
      <c r="R53" s="321">
        <f t="shared" si="0"/>
        <v>68.724634326999976</v>
      </c>
    </row>
    <row r="54" spans="1:22" ht="15" x14ac:dyDescent="0.2">
      <c r="A54" s="660" t="s">
        <v>2476</v>
      </c>
      <c r="B54" s="1321"/>
      <c r="C54" s="1321"/>
      <c r="D54" s="1325">
        <f>+'[15]balance sheet P&amp;L'!J50-(('[15]balance sheet P&amp;L'!D296-'[15]balance sheet P&amp;L'!E296))+(SUM('[15]Balance sheet groupings'!C505:C519)-SUM('[15]Balance sheet groupings'!E505:E519))</f>
        <v>1151.3683897969991</v>
      </c>
      <c r="E54" s="1337">
        <v>3245.9764129170012</v>
      </c>
      <c r="F54" s="648"/>
      <c r="G54" s="648"/>
      <c r="H54" s="661"/>
      <c r="N54" s="321" t="str">
        <f>+'[15]balance sheet P&amp;L'!B56</f>
        <v xml:space="preserve">    Provisions</v>
      </c>
      <c r="O54" s="321">
        <f>+'[15]balance sheet P&amp;L'!D56</f>
        <v>239.07374370900004</v>
      </c>
      <c r="P54" s="321">
        <f>+'[15]balance sheet P&amp;L'!E56</f>
        <v>265.22147626999993</v>
      </c>
      <c r="R54" s="321">
        <f t="shared" si="0"/>
        <v>-26.147732560999884</v>
      </c>
      <c r="T54" s="649">
        <f>+R50</f>
        <v>-26.699406174600881</v>
      </c>
    </row>
    <row r="55" spans="1:22" ht="15" x14ac:dyDescent="0.2">
      <c r="A55" s="660" t="s">
        <v>205</v>
      </c>
      <c r="B55" s="1321"/>
      <c r="C55" s="1321"/>
      <c r="D55" s="1325">
        <f>+'[15]Government grant note 30 &amp; 31'!E10+'[15]Government grant note 30 &amp; 31'!E11</f>
        <v>409.99323279999999</v>
      </c>
      <c r="E55" s="1324">
        <v>0</v>
      </c>
      <c r="G55" s="648"/>
      <c r="H55" s="661"/>
    </row>
    <row r="56" spans="1:22" ht="15" x14ac:dyDescent="0.2">
      <c r="A56" s="660" t="s">
        <v>2477</v>
      </c>
      <c r="B56" s="1321"/>
      <c r="C56" s="1321"/>
      <c r="D56" s="1325">
        <f>-'[15]balance sheet P&amp;L'!D88+D99+'[15]Profit &amp; Loss Grouping'!D207</f>
        <v>-3097.5762837300008</v>
      </c>
      <c r="E56" s="1324">
        <f>-'[15]balance sheet P&amp;L'!E88+E99+'[15]Profit &amp; Loss Grouping'!F207</f>
        <v>-2998.4163714170004</v>
      </c>
      <c r="G56" s="648"/>
      <c r="H56" s="661"/>
      <c r="N56" s="321" t="str">
        <f>+'[15]balance sheet P&amp;L'!B57</f>
        <v>Total Current Liabilities</v>
      </c>
      <c r="O56" s="321">
        <f>+'[15]balance sheet P&amp;L'!D57</f>
        <v>30114.634935918981</v>
      </c>
      <c r="P56" s="321">
        <f>+'[15]balance sheet P&amp;L'!E57</f>
        <v>28193.871057550881</v>
      </c>
      <c r="R56" s="321">
        <f t="shared" si="0"/>
        <v>1920.7638783680995</v>
      </c>
    </row>
    <row r="57" spans="1:22" ht="15" x14ac:dyDescent="0.2">
      <c r="A57" s="660" t="s">
        <v>202</v>
      </c>
      <c r="B57" s="1321"/>
      <c r="C57" s="1321"/>
      <c r="D57" s="1326">
        <f>-'[15]Computation (2)'!C51</f>
        <v>-492.57211519999993</v>
      </c>
      <c r="E57" s="1327">
        <v>-513.58211519999998</v>
      </c>
      <c r="G57" s="648"/>
      <c r="H57" s="661"/>
      <c r="N57" s="321" t="str">
        <f>+'[15]balance sheet P&amp;L'!B58</f>
        <v>TOTAL EQUITY AND LIABILITIES</v>
      </c>
      <c r="O57" s="321">
        <f>+'[15]balance sheet P&amp;L'!D58</f>
        <v>76846.693101994009</v>
      </c>
      <c r="P57" s="321">
        <f>+'[15]balance sheet P&amp;L'!E58</f>
        <v>73128.057777448004</v>
      </c>
      <c r="R57" s="321">
        <f t="shared" si="0"/>
        <v>3718.635324546005</v>
      </c>
    </row>
    <row r="58" spans="1:22" ht="15.75" x14ac:dyDescent="0.2">
      <c r="A58" s="662" t="s">
        <v>2478</v>
      </c>
      <c r="B58" s="1328"/>
      <c r="C58" s="1328"/>
      <c r="D58" s="1333">
        <f>SUM(D51:D57)</f>
        <v>-39.500812310048161</v>
      </c>
      <c r="E58" s="1334">
        <f>SUM(E51:E57)</f>
        <v>-450.70898698398889</v>
      </c>
      <c r="G58" s="648"/>
      <c r="H58" s="661"/>
      <c r="T58" s="664">
        <f>SUM(T51:T57)</f>
        <v>2449.4487679439917</v>
      </c>
      <c r="V58" s="659">
        <f>+D7+T34</f>
        <v>-810.82052673700082</v>
      </c>
    </row>
    <row r="59" spans="1:22" ht="15" x14ac:dyDescent="0.2">
      <c r="A59" s="655"/>
      <c r="B59" s="1317"/>
      <c r="C59" s="1317"/>
      <c r="D59" s="1325"/>
      <c r="E59" s="1324"/>
      <c r="F59" s="648">
        <f>+E62-D61</f>
        <v>-3.3497652296432534E-7</v>
      </c>
      <c r="G59" s="648">
        <f>+F59-G62</f>
        <v>-8.7475588730000062</v>
      </c>
      <c r="H59" s="661"/>
      <c r="T59" s="664">
        <f>+T37+T47+T58</f>
        <v>2895.9849210369848</v>
      </c>
    </row>
    <row r="60" spans="1:22" ht="15.75" x14ac:dyDescent="0.2">
      <c r="A60" s="666" t="s">
        <v>2479</v>
      </c>
      <c r="B60" s="667"/>
      <c r="C60" s="667"/>
      <c r="D60" s="1338">
        <f>+D37+D48+D58</f>
        <v>851.95540182394484</v>
      </c>
      <c r="E60" s="1330">
        <f>+E37+E48+E58</f>
        <v>18.56738412902348</v>
      </c>
      <c r="F60" s="648"/>
      <c r="G60" s="648"/>
      <c r="H60" s="661"/>
      <c r="T60" s="659">
        <f>+T59+D76</f>
        <v>3768.4751428099848</v>
      </c>
      <c r="V60" s="659"/>
    </row>
    <row r="61" spans="1:22" ht="15.75" x14ac:dyDescent="0.2">
      <c r="A61" s="662" t="s">
        <v>210</v>
      </c>
      <c r="B61" s="1328"/>
      <c r="C61" s="1328"/>
      <c r="D61" s="1322">
        <f>+'[15]balance sheet P&amp;L'!E22+E73</f>
        <v>20.534823367000008</v>
      </c>
      <c r="E61" s="1323">
        <v>1.9674389030000061</v>
      </c>
      <c r="G61" s="648"/>
      <c r="H61" s="661"/>
    </row>
    <row r="62" spans="1:22" ht="15.75" x14ac:dyDescent="0.2">
      <c r="A62" s="668" t="s">
        <v>212</v>
      </c>
      <c r="B62" s="669"/>
      <c r="C62" s="669"/>
      <c r="D62" s="1333">
        <f>+D61+D60</f>
        <v>872.4902251909449</v>
      </c>
      <c r="E62" s="1334">
        <f>+E61+E60</f>
        <v>20.534823032023485</v>
      </c>
      <c r="F62" s="536">
        <f>+D62-'[15]balance sheet P&amp;L'!D22</f>
        <v>608.81214474394494</v>
      </c>
      <c r="G62" s="1339">
        <f>+E62-'[15]balance sheet P&amp;L'!E22</f>
        <v>8.7475585380234833</v>
      </c>
      <c r="H62" s="661"/>
      <c r="P62" s="321" t="e">
        <f>+'[15]balance sheet P&amp;L'!#REF!-'[15]balance sheet P&amp;L'!#REF!</f>
        <v>#REF!</v>
      </c>
    </row>
    <row r="63" spans="1:22" ht="15.75" hidden="1" x14ac:dyDescent="0.2">
      <c r="A63" s="1746" t="str">
        <f>A1</f>
        <v>MAHARASHTRA STATE POWER GENERATION COMPANY LIMITED [CIN -U40100MH2005SGC153648]</v>
      </c>
      <c r="B63" s="1747"/>
      <c r="C63" s="1747"/>
      <c r="D63" s="1747"/>
      <c r="E63" s="1748"/>
      <c r="G63" s="1340"/>
      <c r="H63" s="661"/>
    </row>
    <row r="64" spans="1:22" ht="15.75" hidden="1" x14ac:dyDescent="0.2">
      <c r="A64" s="1743" t="str">
        <f>A2</f>
        <v>Cash  Flow  Statement For The Year Ended 31st March, 2023</v>
      </c>
      <c r="B64" s="1744"/>
      <c r="C64" s="1744"/>
      <c r="D64" s="1744"/>
      <c r="E64" s="1745"/>
      <c r="F64" s="659">
        <f>+D62-D76</f>
        <v>3.4179447538917884E-6</v>
      </c>
      <c r="G64" s="1340"/>
      <c r="H64" s="661"/>
    </row>
    <row r="65" spans="1:14" ht="15.75" hidden="1" x14ac:dyDescent="0.2">
      <c r="A65" s="670"/>
      <c r="B65" s="1341"/>
      <c r="C65" s="1341"/>
      <c r="D65" s="1341"/>
      <c r="E65" s="671" t="s">
        <v>832</v>
      </c>
      <c r="F65" s="659"/>
      <c r="G65" s="1340"/>
      <c r="H65" s="661"/>
    </row>
    <row r="66" spans="1:14" ht="16.5" hidden="1" thickBot="1" x14ac:dyDescent="0.25">
      <c r="A66" s="652"/>
      <c r="B66" s="653"/>
      <c r="C66" s="653"/>
      <c r="D66" s="654" t="str">
        <f>+'[15]balance sheet P&amp;L'!$D$78</f>
        <v>2022-23</v>
      </c>
      <c r="E66" s="672" t="str">
        <f>+'[15]balance sheet P&amp;L'!$E$78</f>
        <v>2021-22</v>
      </c>
      <c r="G66" s="1340"/>
      <c r="H66" s="661"/>
    </row>
    <row r="67" spans="1:14" ht="15.75" hidden="1" customHeight="1" x14ac:dyDescent="0.2">
      <c r="A67" s="655"/>
      <c r="B67" s="1317"/>
      <c r="C67" s="1317"/>
      <c r="D67" s="673"/>
      <c r="E67" s="674"/>
      <c r="G67" s="1340"/>
      <c r="H67" s="661"/>
    </row>
    <row r="68" spans="1:14" ht="15.75" x14ac:dyDescent="0.2">
      <c r="A68" s="662" t="s">
        <v>213</v>
      </c>
      <c r="B68" s="1328"/>
      <c r="C68" s="1328"/>
      <c r="D68" s="675"/>
      <c r="E68" s="676"/>
      <c r="G68" s="1340"/>
      <c r="H68" s="661"/>
    </row>
    <row r="69" spans="1:14" ht="15.75" x14ac:dyDescent="0.2">
      <c r="A69" s="662" t="s">
        <v>214</v>
      </c>
      <c r="B69" s="1328"/>
      <c r="C69" s="1328"/>
      <c r="D69" s="675"/>
      <c r="E69" s="676"/>
      <c r="G69" s="1340"/>
      <c r="H69" s="661"/>
    </row>
    <row r="70" spans="1:14" ht="15" x14ac:dyDescent="0.2">
      <c r="A70" s="660" t="s">
        <v>215</v>
      </c>
      <c r="B70" s="1321"/>
      <c r="C70" s="1321"/>
      <c r="D70" s="677"/>
      <c r="E70" s="658"/>
      <c r="G70" s="1340"/>
      <c r="H70" s="661"/>
    </row>
    <row r="71" spans="1:14" ht="15" x14ac:dyDescent="0.2">
      <c r="A71" s="660" t="s">
        <v>216</v>
      </c>
      <c r="B71" s="1321"/>
      <c r="C71" s="1321"/>
      <c r="D71" s="1325">
        <f>+'[15]balance sheet P&amp;L'!D213</f>
        <v>263.66342570199998</v>
      </c>
      <c r="E71" s="1324">
        <f>+'[15]balance sheet P&amp;L'!E213</f>
        <v>11.769918049000003</v>
      </c>
      <c r="G71" s="1340"/>
      <c r="H71" s="661"/>
    </row>
    <row r="72" spans="1:14" ht="15" hidden="1" x14ac:dyDescent="0.2">
      <c r="A72" s="660" t="s">
        <v>217</v>
      </c>
      <c r="B72" s="1321"/>
      <c r="C72" s="1321"/>
      <c r="D72" s="1325">
        <f>+'[15]balance sheet P&amp;L'!D214</f>
        <v>0</v>
      </c>
      <c r="E72" s="1324">
        <f>+'[15]balance sheet P&amp;L'!E214</f>
        <v>0</v>
      </c>
      <c r="G72" s="1340"/>
      <c r="H72" s="661"/>
    </row>
    <row r="73" spans="1:14" ht="15" x14ac:dyDescent="0.2">
      <c r="A73" s="660" t="s">
        <v>218</v>
      </c>
      <c r="B73" s="1321"/>
      <c r="C73" s="1321"/>
      <c r="D73" s="1325">
        <f>SUM('[15]Balance sheet groupings'!C505:C518)</f>
        <v>608.81214132600007</v>
      </c>
      <c r="E73" s="1324">
        <f>SUM('[15]Balance sheet groupings'!E505:E518)</f>
        <v>8.7475588730000062</v>
      </c>
      <c r="G73" s="1340"/>
      <c r="H73" s="661"/>
    </row>
    <row r="74" spans="1:14" ht="15" x14ac:dyDescent="0.2">
      <c r="A74" s="660" t="s">
        <v>219</v>
      </c>
      <c r="B74" s="1321"/>
      <c r="C74" s="1321"/>
      <c r="D74" s="1325">
        <f>+'[15]balance sheet P&amp;L'!D215</f>
        <v>1.4654745E-2</v>
      </c>
      <c r="E74" s="1324">
        <f>+'[15]balance sheet P&amp;L'!E215</f>
        <v>1.7346445000000002E-2</v>
      </c>
      <c r="F74" s="678"/>
      <c r="G74" s="1340"/>
      <c r="H74" s="661"/>
    </row>
    <row r="75" spans="1:14" ht="15.75" hidden="1" x14ac:dyDescent="0.2">
      <c r="A75" s="662"/>
      <c r="B75" s="1328"/>
      <c r="C75" s="1328"/>
      <c r="D75" s="1325"/>
      <c r="E75" s="1324"/>
      <c r="G75" s="1340"/>
      <c r="H75" s="661"/>
    </row>
    <row r="76" spans="1:14" ht="15.75" x14ac:dyDescent="0.2">
      <c r="A76" s="668" t="s">
        <v>212</v>
      </c>
      <c r="B76" s="669"/>
      <c r="C76" s="669"/>
      <c r="D76" s="1333">
        <f>SUM(D71:D75)</f>
        <v>872.49022177300014</v>
      </c>
      <c r="E76" s="1334">
        <f>SUM(E71:E75)</f>
        <v>20.534823367000008</v>
      </c>
      <c r="G76" s="1340">
        <f>+D62-D76</f>
        <v>3.4179447538917884E-6</v>
      </c>
      <c r="H76" s="661"/>
    </row>
    <row r="77" spans="1:14" ht="15.75" x14ac:dyDescent="0.2">
      <c r="A77" s="679"/>
      <c r="B77" s="1342"/>
      <c r="C77" s="1342"/>
      <c r="D77" s="680">
        <f>+D62-D76</f>
        <v>3.4179447538917884E-6</v>
      </c>
      <c r="E77" s="681">
        <f>+E62-E76</f>
        <v>-3.3497652296432534E-7</v>
      </c>
      <c r="G77" s="648"/>
    </row>
    <row r="78" spans="1:14" ht="15.75" x14ac:dyDescent="0.2">
      <c r="A78" s="327" t="s">
        <v>744</v>
      </c>
      <c r="B78" s="1343"/>
      <c r="C78" s="682"/>
      <c r="D78" s="1344"/>
      <c r="E78" s="1345"/>
      <c r="F78" s="683"/>
      <c r="G78" s="1346"/>
      <c r="N78" s="542">
        <f>+D62-D76</f>
        <v>3.4179447538917884E-6</v>
      </c>
    </row>
    <row r="79" spans="1:14" x14ac:dyDescent="0.2">
      <c r="A79" s="180" t="str">
        <f>+'[15]balance sheet P&amp;L'!B61</f>
        <v>For Shah and Taparia</v>
      </c>
      <c r="B79" s="541" t="s">
        <v>746</v>
      </c>
      <c r="C79" s="321"/>
      <c r="D79" s="321"/>
      <c r="E79" s="684"/>
      <c r="F79" s="683"/>
    </row>
    <row r="80" spans="1:14" x14ac:dyDescent="0.2">
      <c r="A80" s="327" t="str">
        <f>+'[15]balance sheet P&amp;L'!B62</f>
        <v>Chartered Accountants</v>
      </c>
      <c r="B80" s="321"/>
      <c r="C80" s="321"/>
      <c r="D80" s="321"/>
      <c r="E80" s="684"/>
      <c r="F80" s="683"/>
      <c r="N80" s="542"/>
    </row>
    <row r="81" spans="1:14" x14ac:dyDescent="0.2">
      <c r="A81" s="327" t="str">
        <f>+'[15]balance sheet P&amp;L'!B63</f>
        <v>(FRN  - 109463W )</v>
      </c>
      <c r="B81" s="321"/>
      <c r="C81" s="321"/>
      <c r="D81" s="321"/>
      <c r="E81" s="684"/>
      <c r="F81" s="683"/>
    </row>
    <row r="82" spans="1:14" ht="30" customHeight="1" x14ac:dyDescent="0.2">
      <c r="A82" s="327"/>
      <c r="B82" s="321"/>
      <c r="C82" s="321"/>
      <c r="D82" s="321"/>
      <c r="E82" s="684"/>
      <c r="F82" s="683"/>
    </row>
    <row r="83" spans="1:14" x14ac:dyDescent="0.2">
      <c r="A83" s="327" t="str">
        <f>+'[15]balance sheet P&amp;L'!B65</f>
        <v>(CA Bharat Ramesh Joshi)</v>
      </c>
      <c r="B83" s="321"/>
      <c r="C83" s="321"/>
      <c r="D83" s="321"/>
      <c r="E83" s="684"/>
      <c r="F83" s="683"/>
    </row>
    <row r="84" spans="1:14" x14ac:dyDescent="0.2">
      <c r="A84" s="327" t="str">
        <f>+'[15]balance sheet P&amp;L'!B66</f>
        <v>Partner (ICAI M No. 130863)</v>
      </c>
      <c r="C84" s="1309" t="str">
        <f>+'[15]balance sheet P&amp;L'!C66</f>
        <v>Balasaheb Thite</v>
      </c>
      <c r="D84" s="1347"/>
      <c r="E84" s="1348" t="str">
        <f>+'[15]balance sheet P&amp;L'!E66</f>
        <v>Dr. P. Anabalgan</v>
      </c>
      <c r="F84" s="683"/>
    </row>
    <row r="85" spans="1:14" x14ac:dyDescent="0.2">
      <c r="A85" s="327"/>
      <c r="C85" s="1309" t="str">
        <f>+'[15]balance sheet P&amp;L'!C67</f>
        <v>Director (Finance) &amp; CFO</v>
      </c>
      <c r="D85" s="1347"/>
      <c r="E85" s="1349" t="str">
        <f>+'[15]balance sheet P&amp;L'!E67</f>
        <v>Chairman &amp; Managing Director</v>
      </c>
      <c r="F85" s="683"/>
    </row>
    <row r="86" spans="1:14" x14ac:dyDescent="0.2">
      <c r="A86" s="327"/>
      <c r="C86" s="1309" t="str">
        <f>+'[15]balance sheet P&amp;L'!C68</f>
        <v xml:space="preserve"> DIN No.08923676</v>
      </c>
      <c r="D86" s="1347"/>
      <c r="E86" s="1348" t="str">
        <f>+'[15]balance sheet P&amp;L'!E68</f>
        <v>DIN No. 05117747</v>
      </c>
      <c r="F86" s="683"/>
    </row>
    <row r="87" spans="1:14" x14ac:dyDescent="0.2">
      <c r="A87" s="180" t="str">
        <f>+'[15]balance sheet P&amp;L'!B68</f>
        <v>For Ummed Jain &amp; Co.</v>
      </c>
      <c r="B87" s="1309"/>
      <c r="C87" s="1309"/>
      <c r="D87" s="321"/>
      <c r="E87" s="684"/>
      <c r="F87" s="683"/>
    </row>
    <row r="88" spans="1:14" x14ac:dyDescent="0.2">
      <c r="A88" s="327" t="str">
        <f>+'[15]balance sheet P&amp;L'!B69</f>
        <v>Chartered Accountants</v>
      </c>
      <c r="B88" s="321"/>
      <c r="C88" s="545"/>
      <c r="D88" s="321"/>
      <c r="E88" s="684"/>
      <c r="F88" s="683"/>
    </row>
    <row r="89" spans="1:14" x14ac:dyDescent="0.2">
      <c r="A89" s="327" t="str">
        <f>+'[15]balance sheet P&amp;L'!B70</f>
        <v>(FRN  -119250W)</v>
      </c>
      <c r="B89" s="321"/>
      <c r="C89" s="545"/>
      <c r="D89" s="321"/>
      <c r="E89" s="684"/>
      <c r="F89" s="683"/>
    </row>
    <row r="90" spans="1:14" ht="30" customHeight="1" x14ac:dyDescent="0.2">
      <c r="A90" s="327"/>
      <c r="C90" s="545" t="str">
        <f>+'[15]balance sheet P&amp;L'!C72</f>
        <v>Vijay Chitlange</v>
      </c>
      <c r="D90" s="1347"/>
      <c r="E90" s="1348" t="str">
        <f>+'[15]balance sheet P&amp;L'!E72</f>
        <v>Rahul Dubey</v>
      </c>
      <c r="F90" s="683"/>
      <c r="N90" s="321">
        <v>3336.1549253307599</v>
      </c>
    </row>
    <row r="91" spans="1:14" x14ac:dyDescent="0.2">
      <c r="A91" s="327" t="str">
        <f>'[15]balance sheet P&amp;L'!B72</f>
        <v>(CA Ritu Sanghi )</v>
      </c>
      <c r="C91" s="545" t="str">
        <f>+'[15]balance sheet P&amp;L'!C73</f>
        <v>Chief General Manager (A/c)</v>
      </c>
      <c r="D91" s="1347"/>
      <c r="E91" s="1348" t="str">
        <f>+'[15]balance sheet P&amp;L'!E73</f>
        <v>Company Secretary</v>
      </c>
      <c r="F91" s="683"/>
    </row>
    <row r="92" spans="1:14" x14ac:dyDescent="0.2">
      <c r="A92" s="327" t="str">
        <f>+'[15]balance sheet P&amp;L'!B73</f>
        <v>Partner (ICAI M No. 425542 )</v>
      </c>
      <c r="B92" s="545"/>
      <c r="C92" s="1308"/>
      <c r="D92" s="1347"/>
      <c r="E92" s="1348" t="str">
        <f>+'[15]balance sheet P&amp;L'!E74</f>
        <v>M No. A14213</v>
      </c>
      <c r="F92" s="683"/>
    </row>
    <row r="93" spans="1:14" x14ac:dyDescent="0.2">
      <c r="A93" s="327" t="s">
        <v>2439</v>
      </c>
      <c r="B93" s="1350"/>
      <c r="C93" s="1350"/>
      <c r="D93" s="1350"/>
      <c r="E93" s="685"/>
      <c r="F93" s="683"/>
    </row>
    <row r="94" spans="1:14" x14ac:dyDescent="0.2">
      <c r="A94" s="686"/>
      <c r="B94" s="687"/>
      <c r="C94" s="688"/>
      <c r="D94" s="689"/>
      <c r="E94" s="690"/>
      <c r="F94" s="683"/>
    </row>
    <row r="97" spans="2:6" x14ac:dyDescent="0.2">
      <c r="C97" s="649">
        <v>46701</v>
      </c>
      <c r="D97" s="649">
        <f>+'[15]Balance sheet groupings'!C647</f>
        <v>13.0395278</v>
      </c>
      <c r="E97" s="649">
        <f>+'[15]Balance sheet groupings'!E647</f>
        <v>13.6508678</v>
      </c>
    </row>
    <row r="98" spans="2:6" x14ac:dyDescent="0.2">
      <c r="C98" s="649">
        <v>46704</v>
      </c>
      <c r="D98" s="649">
        <f>+'[15]Balance sheet groupings'!C650</f>
        <v>51.338448</v>
      </c>
      <c r="E98" s="649">
        <f>+'[15]Balance sheet groupings'!E650</f>
        <v>164.2834431</v>
      </c>
    </row>
    <row r="99" spans="2:6" x14ac:dyDescent="0.2">
      <c r="D99" s="649">
        <f>(+D97+D98)</f>
        <v>64.377975800000002</v>
      </c>
      <c r="E99" s="649">
        <f>+E97+E98</f>
        <v>177.93431090000001</v>
      </c>
    </row>
    <row r="103" spans="2:6" x14ac:dyDescent="0.2">
      <c r="B103" s="649" t="s">
        <v>2480</v>
      </c>
    </row>
    <row r="104" spans="2:6" x14ac:dyDescent="0.2">
      <c r="B104" s="649" t="s">
        <v>2481</v>
      </c>
      <c r="D104" s="422">
        <v>5443.1246383999996</v>
      </c>
      <c r="E104" s="691">
        <v>3388.3492811000001</v>
      </c>
      <c r="F104" s="649">
        <v>3078.1368219999999</v>
      </c>
    </row>
    <row r="105" spans="2:6" x14ac:dyDescent="0.2">
      <c r="B105" s="649" t="s">
        <v>2482</v>
      </c>
      <c r="D105" s="422">
        <f>'[15]balance sheet P&amp;L'!D268-'[15]balance sheet P&amp;L'!E268</f>
        <v>4.0669728000000003</v>
      </c>
      <c r="E105" s="691"/>
    </row>
    <row r="106" spans="2:6" x14ac:dyDescent="0.2">
      <c r="D106" s="422">
        <f>SUM(D104:D105)</f>
        <v>5447.1916111999999</v>
      </c>
      <c r="E106" s="691"/>
    </row>
    <row r="107" spans="2:6" x14ac:dyDescent="0.2">
      <c r="B107" s="649" t="s">
        <v>2483</v>
      </c>
      <c r="D107" s="649">
        <f>3540.28014686305-0.31786666</f>
        <v>3539.9622802030499</v>
      </c>
      <c r="E107" s="649">
        <v>4032.4571180359999</v>
      </c>
      <c r="F107" s="649">
        <v>2481.0349916</v>
      </c>
    </row>
    <row r="108" spans="2:6" x14ac:dyDescent="0.2">
      <c r="D108" s="692">
        <f>(+D104-D107)</f>
        <v>1903.1623581969498</v>
      </c>
      <c r="E108" s="649">
        <f>+E104-E107</f>
        <v>-644.10783693599979</v>
      </c>
      <c r="F108" s="649">
        <f>+F104-F107</f>
        <v>597.10183039999993</v>
      </c>
    </row>
    <row r="109" spans="2:6" x14ac:dyDescent="0.2">
      <c r="B109" s="649" t="s">
        <v>2484</v>
      </c>
      <c r="D109" s="692">
        <f>-(+'[15]balance sheet P&amp;L'!D266-'[15]balance sheet P&amp;L'!E266)</f>
        <v>9.0843703999999832</v>
      </c>
      <c r="E109" s="692">
        <v>8.6290848000000153</v>
      </c>
      <c r="F109" s="692">
        <f>85992264/10^7</f>
        <v>8.5992263999999992</v>
      </c>
    </row>
    <row r="110" spans="2:6" x14ac:dyDescent="0.2">
      <c r="C110" s="649" t="s">
        <v>2485</v>
      </c>
      <c r="D110" s="692">
        <f>(+D108-D109)</f>
        <v>1894.0779877969499</v>
      </c>
      <c r="E110" s="692">
        <f>+E108-E109</f>
        <v>-652.73692173599977</v>
      </c>
      <c r="F110" s="692">
        <f>+F108-F109</f>
        <v>588.50260399999991</v>
      </c>
    </row>
    <row r="112" spans="2:6" x14ac:dyDescent="0.2">
      <c r="B112" s="693" t="s">
        <v>2486</v>
      </c>
      <c r="C112" s="693"/>
    </row>
    <row r="113" spans="2:14" x14ac:dyDescent="0.2">
      <c r="B113" s="694" t="str">
        <f>+A31</f>
        <v xml:space="preserve">Increase / (Decrease) in Liabilites and Other Payables  </v>
      </c>
      <c r="C113" s="693"/>
      <c r="N113" s="695"/>
    </row>
    <row r="120" spans="2:14" x14ac:dyDescent="0.2">
      <c r="B120" s="649">
        <v>1894.0779877999939</v>
      </c>
    </row>
    <row r="121" spans="2:14" x14ac:dyDescent="0.2">
      <c r="B121" s="696">
        <f>B120-D110</f>
        <v>3.0440787668339908E-9</v>
      </c>
    </row>
  </sheetData>
  <mergeCells count="7">
    <mergeCell ref="A64:E64"/>
    <mergeCell ref="A1:E1"/>
    <mergeCell ref="A2:E2"/>
    <mergeCell ref="A9:C9"/>
    <mergeCell ref="A40:C40"/>
    <mergeCell ref="A42:C42"/>
    <mergeCell ref="A63:E63"/>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workbookViewId="0">
      <selection sqref="A1:XFD1048576"/>
    </sheetView>
  </sheetViews>
  <sheetFormatPr defaultColWidth="9.140625" defaultRowHeight="15" x14ac:dyDescent="0.25"/>
  <cols>
    <col min="1" max="1" width="26" style="699" customWidth="1"/>
    <col min="2" max="2" width="18.7109375" style="699" customWidth="1"/>
    <col min="3" max="6" width="21.7109375" style="1464" customWidth="1"/>
    <col min="7" max="8" width="21.7109375" style="699" customWidth="1"/>
    <col min="9" max="11" width="19.7109375" style="699" customWidth="1"/>
    <col min="20" max="20" width="9.140625" style="699"/>
    <col min="21" max="21" width="11.140625" style="699" bestFit="1" customWidth="1"/>
    <col min="22" max="16384" width="9.140625" style="699"/>
  </cols>
  <sheetData>
    <row r="1" spans="1:21" ht="15.75" x14ac:dyDescent="0.25">
      <c r="A1" s="697" t="s">
        <v>2487</v>
      </c>
      <c r="B1" s="698"/>
      <c r="C1" s="1435"/>
      <c r="D1" s="1435"/>
      <c r="E1" s="1435"/>
      <c r="F1" s="1436"/>
      <c r="G1" s="1437"/>
      <c r="H1" s="1437"/>
    </row>
    <row r="2" spans="1:21" ht="15.75" x14ac:dyDescent="0.25">
      <c r="A2" s="700" t="s">
        <v>2488</v>
      </c>
      <c r="B2" s="701"/>
      <c r="C2" s="1438"/>
      <c r="D2" s="1438"/>
      <c r="E2" s="1438"/>
      <c r="F2" s="1439"/>
      <c r="G2" s="1437"/>
      <c r="H2" s="1437"/>
    </row>
    <row r="3" spans="1:21" ht="15.75" x14ac:dyDescent="0.25">
      <c r="A3" s="700" t="s">
        <v>2489</v>
      </c>
      <c r="B3" s="702"/>
      <c r="C3" s="1440"/>
      <c r="D3" s="1440"/>
      <c r="E3" s="1440"/>
      <c r="F3" s="1441"/>
      <c r="G3" s="1437"/>
      <c r="H3" s="1437"/>
    </row>
    <row r="4" spans="1:21" ht="15.75" x14ac:dyDescent="0.25">
      <c r="A4" s="703" t="s">
        <v>2490</v>
      </c>
      <c r="B4" s="704"/>
      <c r="C4" s="1442"/>
      <c r="D4" s="1442"/>
      <c r="E4" s="1442"/>
      <c r="F4" s="1443"/>
      <c r="G4" s="1437"/>
      <c r="H4" s="1437"/>
    </row>
    <row r="5" spans="1:21" ht="15" customHeight="1" x14ac:dyDescent="0.25">
      <c r="A5" s="1756" t="s">
        <v>2491</v>
      </c>
      <c r="B5" s="1756" t="s">
        <v>2492</v>
      </c>
      <c r="C5" s="1757" t="str">
        <f>'[15]Statement of changes in equity'!$A$11</f>
        <v>As at 31.03.2023</v>
      </c>
      <c r="D5" s="1757"/>
      <c r="E5" s="1757" t="str">
        <f>'[15]Statement of changes in equity'!$A$9</f>
        <v>As at 31.03.2022</v>
      </c>
      <c r="F5" s="1759"/>
      <c r="G5" s="1758" t="str">
        <f>'[15]Statement of changes in equity'!A5</f>
        <v>As on 31.03.2021</v>
      </c>
      <c r="H5" s="1758"/>
    </row>
    <row r="6" spans="1:21" ht="15.75" x14ac:dyDescent="0.25">
      <c r="A6" s="1756"/>
      <c r="B6" s="1756"/>
      <c r="C6" s="1444" t="s">
        <v>2493</v>
      </c>
      <c r="D6" s="705" t="s">
        <v>2494</v>
      </c>
      <c r="E6" s="1444" t="s">
        <v>2493</v>
      </c>
      <c r="F6" s="705" t="s">
        <v>2494</v>
      </c>
      <c r="G6" s="1445" t="s">
        <v>2493</v>
      </c>
      <c r="H6" s="1446" t="s">
        <v>2494</v>
      </c>
    </row>
    <row r="7" spans="1:21" ht="15.75" x14ac:dyDescent="0.25">
      <c r="A7" s="706" t="s">
        <v>2495</v>
      </c>
      <c r="B7" s="706">
        <v>10</v>
      </c>
      <c r="C7" s="1447">
        <v>40000000000</v>
      </c>
      <c r="D7" s="1448">
        <v>40000</v>
      </c>
      <c r="E7" s="1447">
        <v>40000000000</v>
      </c>
      <c r="F7" s="1448">
        <v>40000</v>
      </c>
      <c r="G7" s="1449">
        <v>40000000000</v>
      </c>
      <c r="H7" s="1445">
        <v>40000</v>
      </c>
      <c r="U7" s="699">
        <f>10^7</f>
        <v>10000000</v>
      </c>
    </row>
    <row r="8" spans="1:21" ht="15.75" hidden="1" x14ac:dyDescent="0.25">
      <c r="A8" s="707"/>
      <c r="B8" s="704"/>
      <c r="C8" s="1442"/>
      <c r="D8" s="1442"/>
      <c r="E8" s="1442"/>
      <c r="F8" s="1450"/>
      <c r="G8" s="1437"/>
      <c r="H8" s="1437"/>
    </row>
    <row r="9" spans="1:21" ht="15.75" hidden="1" x14ac:dyDescent="0.25">
      <c r="A9" s="707"/>
      <c r="B9" s="704"/>
      <c r="C9" s="1442"/>
      <c r="D9" s="1442"/>
      <c r="E9" s="1442"/>
      <c r="F9" s="1450"/>
      <c r="G9" s="1437"/>
      <c r="H9" s="1437"/>
    </row>
    <row r="10" spans="1:21" ht="15.75" x14ac:dyDescent="0.25">
      <c r="A10" s="703" t="s">
        <v>2496</v>
      </c>
      <c r="B10" s="704"/>
      <c r="C10" s="1442"/>
      <c r="D10" s="1442"/>
      <c r="E10" s="1442"/>
      <c r="F10" s="1450"/>
      <c r="G10" s="1437"/>
      <c r="H10" s="1437"/>
    </row>
    <row r="11" spans="1:21" ht="15.75" x14ac:dyDescent="0.25">
      <c r="A11" s="1756" t="s">
        <v>2491</v>
      </c>
      <c r="B11" s="1756" t="s">
        <v>2492</v>
      </c>
      <c r="C11" s="1757" t="str">
        <f>'[15]Statement of changes in equity'!$A$11</f>
        <v>As at 31.03.2023</v>
      </c>
      <c r="D11" s="1757"/>
      <c r="E11" s="1757" t="str">
        <f>'[15]Statement of changes in equity'!$A$9</f>
        <v>As at 31.03.2022</v>
      </c>
      <c r="F11" s="1757"/>
      <c r="G11" s="1758" t="str">
        <f>+G5</f>
        <v>As on 31.03.2021</v>
      </c>
      <c r="H11" s="1758"/>
    </row>
    <row r="12" spans="1:21" ht="15.75" x14ac:dyDescent="0.25">
      <c r="A12" s="1756"/>
      <c r="B12" s="1756"/>
      <c r="C12" s="1444" t="s">
        <v>2493</v>
      </c>
      <c r="D12" s="705" t="s">
        <v>2494</v>
      </c>
      <c r="E12" s="1444" t="s">
        <v>2493</v>
      </c>
      <c r="F12" s="705" t="s">
        <v>2494</v>
      </c>
      <c r="G12" s="1445" t="s">
        <v>2493</v>
      </c>
      <c r="H12" s="1446" t="s">
        <v>2494</v>
      </c>
    </row>
    <row r="13" spans="1:21" ht="15.75" x14ac:dyDescent="0.25">
      <c r="A13" s="706" t="s">
        <v>2495</v>
      </c>
      <c r="B13" s="706">
        <v>10</v>
      </c>
      <c r="C13" s="1447">
        <f>+C22</f>
        <v>25918496225.999996</v>
      </c>
      <c r="D13" s="1448">
        <f>(+D22)</f>
        <v>25918.496225999996</v>
      </c>
      <c r="E13" s="1447">
        <f>+E22</f>
        <v>25450446225.999996</v>
      </c>
      <c r="F13" s="1448">
        <f>+F22</f>
        <v>25450.446225999996</v>
      </c>
      <c r="G13" s="1449">
        <f>+E20</f>
        <v>25407946225.999996</v>
      </c>
      <c r="H13" s="1445">
        <f>+F20</f>
        <v>25407.946225999996</v>
      </c>
    </row>
    <row r="14" spans="1:21" ht="15.75" hidden="1" customHeight="1" x14ac:dyDescent="0.25">
      <c r="A14" s="708" t="s">
        <v>2497</v>
      </c>
      <c r="B14" s="706"/>
      <c r="C14" s="1448"/>
      <c r="D14" s="1448">
        <v>5777933537</v>
      </c>
      <c r="E14" s="1448"/>
      <c r="F14" s="1448">
        <v>22331367000</v>
      </c>
      <c r="G14" s="1437"/>
      <c r="H14" s="1437"/>
    </row>
    <row r="15" spans="1:21" ht="15.75" x14ac:dyDescent="0.25">
      <c r="A15" s="707"/>
      <c r="B15" s="704"/>
      <c r="C15" s="1442"/>
      <c r="D15" s="1442"/>
      <c r="E15" s="1442"/>
      <c r="F15" s="1450"/>
      <c r="G15" s="1437"/>
      <c r="H15" s="1437"/>
    </row>
    <row r="16" spans="1:21" ht="15.75" customHeight="1" x14ac:dyDescent="0.25">
      <c r="A16" s="703" t="s">
        <v>2498</v>
      </c>
      <c r="B16" s="704"/>
      <c r="C16" s="1442"/>
      <c r="D16" s="1442"/>
      <c r="E16" s="1442"/>
      <c r="F16" s="1450"/>
      <c r="G16" s="1437"/>
      <c r="H16" s="1437"/>
    </row>
    <row r="17" spans="1:8" ht="15.75" x14ac:dyDescent="0.25">
      <c r="A17" s="1756" t="s">
        <v>2491</v>
      </c>
      <c r="B17" s="1756"/>
      <c r="C17" s="1757" t="str">
        <f>'[15]Statement of changes in equity'!$A$11</f>
        <v>As at 31.03.2023</v>
      </c>
      <c r="D17" s="1757"/>
      <c r="E17" s="1757" t="str">
        <f>'[15]Statement of changes in equity'!$A$9</f>
        <v>As at 31.03.2022</v>
      </c>
      <c r="F17" s="1757"/>
      <c r="G17" s="1758" t="str">
        <f>+G5</f>
        <v>As on 31.03.2021</v>
      </c>
      <c r="H17" s="1758"/>
    </row>
    <row r="18" spans="1:8" ht="15.75" x14ac:dyDescent="0.25">
      <c r="A18" s="1756"/>
      <c r="B18" s="1756"/>
      <c r="C18" s="1760" t="s">
        <v>2495</v>
      </c>
      <c r="D18" s="1761"/>
      <c r="E18" s="1760" t="s">
        <v>2495</v>
      </c>
      <c r="F18" s="1761"/>
      <c r="G18" s="1758" t="s">
        <v>2495</v>
      </c>
      <c r="H18" s="1758"/>
    </row>
    <row r="19" spans="1:8" ht="15.75" x14ac:dyDescent="0.25">
      <c r="A19" s="1756"/>
      <c r="B19" s="1756"/>
      <c r="C19" s="1451" t="s">
        <v>2493</v>
      </c>
      <c r="D19" s="705" t="s">
        <v>2494</v>
      </c>
      <c r="E19" s="1451" t="s">
        <v>2493</v>
      </c>
      <c r="F19" s="705" t="s">
        <v>2494</v>
      </c>
      <c r="G19" s="1445" t="s">
        <v>2493</v>
      </c>
      <c r="H19" s="1446" t="s">
        <v>2494</v>
      </c>
    </row>
    <row r="20" spans="1:8" ht="15.75" x14ac:dyDescent="0.25">
      <c r="A20" s="1764" t="s">
        <v>2499</v>
      </c>
      <c r="B20" s="1764"/>
      <c r="C20" s="1452">
        <f>+E22</f>
        <v>25450446225.999996</v>
      </c>
      <c r="D20" s="1453">
        <f>+F22</f>
        <v>25450.446225999996</v>
      </c>
      <c r="E20" s="1452">
        <f>+G22</f>
        <v>25407946225.999996</v>
      </c>
      <c r="F20" s="1453">
        <f>+H22</f>
        <v>25407.946225999996</v>
      </c>
      <c r="G20" s="1454">
        <f>+H20*10^7/10</f>
        <v>25343946225.999996</v>
      </c>
      <c r="H20" s="1455">
        <v>25343.946225999996</v>
      </c>
    </row>
    <row r="21" spans="1:8" ht="15.75" x14ac:dyDescent="0.25">
      <c r="A21" s="1764" t="s">
        <v>2500</v>
      </c>
      <c r="B21" s="1764"/>
      <c r="C21" s="1452">
        <f>+D21*10^7/10</f>
        <v>468050000</v>
      </c>
      <c r="D21" s="1456">
        <v>468.05</v>
      </c>
      <c r="E21" s="1452">
        <f>+F21*10^7/10</f>
        <v>42500000</v>
      </c>
      <c r="F21" s="1456">
        <v>42.5</v>
      </c>
      <c r="G21" s="1454">
        <f>+H21*10^7/10</f>
        <v>64000000</v>
      </c>
      <c r="H21" s="1455">
        <v>64</v>
      </c>
    </row>
    <row r="22" spans="1:8" ht="15.75" x14ac:dyDescent="0.25">
      <c r="A22" s="1764" t="s">
        <v>2501</v>
      </c>
      <c r="B22" s="1764"/>
      <c r="C22" s="1452">
        <f t="shared" ref="C22:G22" si="0">C20+C21</f>
        <v>25918496225.999996</v>
      </c>
      <c r="D22" s="1456">
        <f t="shared" si="0"/>
        <v>25918.496225999996</v>
      </c>
      <c r="E22" s="1452">
        <f t="shared" si="0"/>
        <v>25450446225.999996</v>
      </c>
      <c r="F22" s="1456">
        <f t="shared" si="0"/>
        <v>25450.446225999996</v>
      </c>
      <c r="G22" s="1454">
        <f t="shared" si="0"/>
        <v>25407946225.999996</v>
      </c>
      <c r="H22" s="1457">
        <v>25407.946225999996</v>
      </c>
    </row>
    <row r="23" spans="1:8" ht="15.75" x14ac:dyDescent="0.25">
      <c r="A23" s="1765" t="s">
        <v>2502</v>
      </c>
      <c r="B23" s="1766"/>
      <c r="C23" s="1766"/>
      <c r="D23" s="1766"/>
      <c r="E23" s="1766"/>
      <c r="F23" s="1767"/>
      <c r="G23" s="1437"/>
      <c r="H23" s="1437"/>
    </row>
    <row r="24" spans="1:8" ht="15.75" x14ac:dyDescent="0.25">
      <c r="A24" s="707" t="s">
        <v>2503</v>
      </c>
      <c r="B24" s="704"/>
      <c r="C24" s="704"/>
      <c r="D24" s="704"/>
      <c r="E24" s="704"/>
      <c r="F24" s="1458"/>
      <c r="G24" s="1437"/>
      <c r="H24" s="1437"/>
    </row>
    <row r="25" spans="1:8" ht="35.25" customHeight="1" x14ac:dyDescent="0.25">
      <c r="A25" s="1768" t="s">
        <v>2504</v>
      </c>
      <c r="B25" s="1769"/>
      <c r="C25" s="1769"/>
      <c r="D25" s="1769"/>
      <c r="E25" s="1769"/>
      <c r="F25" s="1770"/>
      <c r="G25" s="1459"/>
      <c r="H25" s="1459"/>
    </row>
    <row r="26" spans="1:8" ht="20.25" customHeight="1" x14ac:dyDescent="0.25">
      <c r="A26" s="1768" t="s">
        <v>2505</v>
      </c>
      <c r="B26" s="1769"/>
      <c r="C26" s="1769"/>
      <c r="D26" s="1769"/>
      <c r="E26" s="1769"/>
      <c r="F26" s="1770"/>
      <c r="G26" s="1437"/>
      <c r="H26" s="1437"/>
    </row>
    <row r="27" spans="1:8" ht="50.25" customHeight="1" x14ac:dyDescent="0.25">
      <c r="A27" s="1768" t="s">
        <v>2506</v>
      </c>
      <c r="B27" s="1769"/>
      <c r="C27" s="1769"/>
      <c r="D27" s="1769"/>
      <c r="E27" s="1769"/>
      <c r="F27" s="1770"/>
      <c r="G27" s="1459"/>
      <c r="H27" s="1459"/>
    </row>
    <row r="28" spans="1:8" ht="15.75" x14ac:dyDescent="0.25">
      <c r="A28" s="1768"/>
      <c r="B28" s="1769"/>
      <c r="C28" s="1769"/>
      <c r="D28" s="1769"/>
      <c r="E28" s="1769"/>
      <c r="F28" s="1770"/>
      <c r="G28" s="1437"/>
      <c r="H28" s="1437"/>
    </row>
    <row r="29" spans="1:8" ht="15.75" x14ac:dyDescent="0.25">
      <c r="A29" s="703" t="s">
        <v>2507</v>
      </c>
      <c r="B29" s="704"/>
      <c r="C29" s="1442"/>
      <c r="D29" s="1442"/>
      <c r="E29" s="1442"/>
      <c r="F29" s="1450"/>
      <c r="G29" s="1437"/>
      <c r="H29" s="1460"/>
    </row>
    <row r="30" spans="1:8" ht="15.75" x14ac:dyDescent="0.25">
      <c r="A30" s="1756" t="s">
        <v>2508</v>
      </c>
      <c r="B30" s="1756"/>
      <c r="C30" s="1757" t="str">
        <f>'[15]Statement of changes in equity'!$A$11</f>
        <v>As at 31.03.2023</v>
      </c>
      <c r="D30" s="1757"/>
      <c r="E30" s="1757" t="str">
        <f>'[15]Statement of changes in equity'!$A$9</f>
        <v>As at 31.03.2022</v>
      </c>
      <c r="F30" s="1757"/>
      <c r="G30" s="1758" t="str">
        <f>+G5</f>
        <v>As on 31.03.2021</v>
      </c>
      <c r="H30" s="1758"/>
    </row>
    <row r="31" spans="1:8" ht="15.75" x14ac:dyDescent="0.25">
      <c r="A31" s="1756"/>
      <c r="B31" s="1756"/>
      <c r="C31" s="1762" t="s">
        <v>2495</v>
      </c>
      <c r="D31" s="1763"/>
      <c r="E31" s="1762" t="s">
        <v>2495</v>
      </c>
      <c r="F31" s="1763"/>
      <c r="G31" s="1758" t="s">
        <v>2495</v>
      </c>
      <c r="H31" s="1758"/>
    </row>
    <row r="32" spans="1:8" ht="15.75" x14ac:dyDescent="0.25">
      <c r="A32" s="1764" t="s">
        <v>2509</v>
      </c>
      <c r="B32" s="1764"/>
      <c r="C32" s="1777">
        <f>+C22</f>
        <v>25918496225.999996</v>
      </c>
      <c r="D32" s="1778"/>
      <c r="E32" s="1777">
        <f>+F22*10^7/10</f>
        <v>25450446225.999996</v>
      </c>
      <c r="F32" s="1778"/>
      <c r="G32" s="1771">
        <f>+H22*10^7/10</f>
        <v>25407946225.999996</v>
      </c>
      <c r="H32" s="1771"/>
    </row>
    <row r="33" spans="1:21" ht="30.75" customHeight="1" x14ac:dyDescent="0.25">
      <c r="A33" s="1772" t="s">
        <v>2510</v>
      </c>
      <c r="B33" s="1773"/>
      <c r="C33" s="1461"/>
      <c r="D33" s="1462">
        <f>+D22</f>
        <v>25918.496225999996</v>
      </c>
      <c r="E33" s="1463"/>
      <c r="F33" s="1462">
        <f>+E32*10/10^7</f>
        <v>25450.446225999996</v>
      </c>
      <c r="G33" s="1445"/>
      <c r="H33" s="1445">
        <f>+G32*10/10^7</f>
        <v>25407.946225999996</v>
      </c>
      <c r="J33" s="1464"/>
    </row>
    <row r="34" spans="1:21" ht="11.25" customHeight="1" x14ac:dyDescent="0.25">
      <c r="A34" s="1465"/>
      <c r="B34" s="1465"/>
      <c r="C34" s="1440"/>
      <c r="D34" s="1466"/>
      <c r="E34" s="1466"/>
      <c r="F34" s="1466"/>
      <c r="G34" s="1445"/>
      <c r="H34" s="1445"/>
      <c r="J34" s="1464"/>
    </row>
    <row r="35" spans="1:21" ht="15.75" x14ac:dyDescent="0.25">
      <c r="A35" s="1776" t="s">
        <v>2511</v>
      </c>
      <c r="B35" s="1776"/>
      <c r="C35" s="1776"/>
      <c r="D35" s="1776"/>
      <c r="E35" s="1776"/>
      <c r="F35" s="1776"/>
      <c r="G35" s="1437"/>
      <c r="H35" s="1437"/>
    </row>
    <row r="36" spans="1:21" ht="15.75" x14ac:dyDescent="0.25">
      <c r="A36" s="1756" t="s">
        <v>2508</v>
      </c>
      <c r="B36" s="1756"/>
      <c r="C36" s="1760" t="str">
        <f>'[15]Statement of changes in equity'!$A$11</f>
        <v>As at 31.03.2023</v>
      </c>
      <c r="D36" s="1775"/>
      <c r="E36" s="1761"/>
      <c r="F36" s="1760" t="str">
        <f>'[15]Statement of changes in equity'!$A$9</f>
        <v>As at 31.03.2022</v>
      </c>
      <c r="G36" s="1775"/>
      <c r="H36" s="1761"/>
      <c r="I36" s="1779" t="str">
        <f>+G30</f>
        <v>As on 31.03.2021</v>
      </c>
      <c r="J36" s="1780"/>
      <c r="K36" s="709"/>
      <c r="L36" s="710"/>
      <c r="M36" s="710"/>
      <c r="T36"/>
      <c r="U36"/>
    </row>
    <row r="37" spans="1:21" ht="31.5" x14ac:dyDescent="0.25">
      <c r="A37" s="1756"/>
      <c r="B37" s="1756"/>
      <c r="C37" s="1444" t="s">
        <v>2495</v>
      </c>
      <c r="D37" s="1467" t="s">
        <v>2512</v>
      </c>
      <c r="E37" s="1468" t="s">
        <v>2513</v>
      </c>
      <c r="F37" s="1444" t="s">
        <v>2495</v>
      </c>
      <c r="G37" s="1467" t="s">
        <v>2512</v>
      </c>
      <c r="H37" s="1468" t="s">
        <v>2513</v>
      </c>
      <c r="I37" s="1469" t="s">
        <v>2495</v>
      </c>
      <c r="J37" s="1469" t="s">
        <v>2512</v>
      </c>
      <c r="K37" s="1470" t="s">
        <v>2513</v>
      </c>
      <c r="L37" s="710"/>
      <c r="M37" s="710"/>
      <c r="T37"/>
      <c r="U37"/>
    </row>
    <row r="38" spans="1:21" ht="15.75" x14ac:dyDescent="0.25">
      <c r="A38" s="1764" t="s">
        <v>2514</v>
      </c>
      <c r="B38" s="1764"/>
      <c r="C38" s="1452">
        <f>+C32</f>
        <v>25918496225.999996</v>
      </c>
      <c r="D38" s="1471">
        <v>100</v>
      </c>
      <c r="E38" s="1471">
        <v>0</v>
      </c>
      <c r="F38" s="1452">
        <f>+E32</f>
        <v>25450446225.999996</v>
      </c>
      <c r="G38" s="1471">
        <v>100</v>
      </c>
      <c r="H38" s="1471">
        <v>0</v>
      </c>
      <c r="I38" s="1472">
        <f>+G32</f>
        <v>25407946225.999996</v>
      </c>
      <c r="J38" s="1473">
        <v>100</v>
      </c>
      <c r="K38" s="1474">
        <v>0</v>
      </c>
      <c r="L38" s="710"/>
      <c r="M38" s="710"/>
      <c r="T38"/>
      <c r="U38"/>
    </row>
    <row r="39" spans="1:21" ht="15.75" hidden="1" x14ac:dyDescent="0.25">
      <c r="A39" s="711"/>
      <c r="B39" s="712"/>
      <c r="C39" s="1475"/>
      <c r="D39" s="1475"/>
      <c r="E39" s="1475"/>
      <c r="F39" s="1475"/>
    </row>
    <row r="40" spans="1:21" hidden="1" x14ac:dyDescent="0.25"/>
    <row r="41" spans="1:21" ht="12.75" customHeight="1" x14ac:dyDescent="0.25"/>
    <row r="42" spans="1:21" ht="15.75" x14ac:dyDescent="0.25">
      <c r="A42" s="713" t="s">
        <v>2515</v>
      </c>
    </row>
    <row r="43" spans="1:21" ht="23.25" customHeight="1" x14ac:dyDescent="0.25">
      <c r="A43" s="714"/>
      <c r="B43" s="1781" t="str">
        <f>C30</f>
        <v>As at 31.03.2023</v>
      </c>
      <c r="C43" s="1782"/>
      <c r="D43" s="1783" t="str">
        <f>E30</f>
        <v>As at 31.03.2022</v>
      </c>
      <c r="E43" s="1784"/>
      <c r="F43" s="1785" t="s">
        <v>2516</v>
      </c>
      <c r="G43" s="715"/>
      <c r="K43"/>
      <c r="S43" s="699"/>
    </row>
    <row r="44" spans="1:21" ht="21.75" customHeight="1" x14ac:dyDescent="0.25">
      <c r="A44" s="716" t="s">
        <v>2517</v>
      </c>
      <c r="B44" s="1476" t="s">
        <v>2518</v>
      </c>
      <c r="C44" s="1476" t="s">
        <v>2519</v>
      </c>
      <c r="D44" s="1476" t="s">
        <v>2518</v>
      </c>
      <c r="E44" s="1476" t="s">
        <v>2519</v>
      </c>
      <c r="F44" s="1786"/>
      <c r="G44" s="715"/>
      <c r="K44"/>
      <c r="S44" s="699"/>
    </row>
    <row r="45" spans="1:21" x14ac:dyDescent="0.25">
      <c r="A45" s="717"/>
      <c r="B45" s="1477"/>
      <c r="C45" s="1477"/>
      <c r="D45" s="1477"/>
      <c r="E45" s="1477"/>
      <c r="F45" s="1478"/>
      <c r="G45" s="1479"/>
      <c r="K45"/>
      <c r="S45" s="699"/>
    </row>
    <row r="46" spans="1:21" x14ac:dyDescent="0.25">
      <c r="A46" s="718" t="s">
        <v>2514</v>
      </c>
      <c r="B46" s="719">
        <f>C38</f>
        <v>25918496225.999996</v>
      </c>
      <c r="C46" s="720">
        <f>D38</f>
        <v>100</v>
      </c>
      <c r="D46" s="719">
        <f>F38</f>
        <v>25450446225.999996</v>
      </c>
      <c r="E46" s="720">
        <f>G38</f>
        <v>100</v>
      </c>
      <c r="F46" s="1480" t="s">
        <v>2520</v>
      </c>
      <c r="G46" s="721"/>
      <c r="K46"/>
      <c r="S46" s="699"/>
    </row>
    <row r="54" spans="1:4" x14ac:dyDescent="0.25">
      <c r="C54" s="1464">
        <f>25343946226-59820000</f>
        <v>25284126226</v>
      </c>
      <c r="D54" s="1464">
        <f>253439462260-598200000</f>
        <v>252841262260</v>
      </c>
    </row>
    <row r="55" spans="1:4" x14ac:dyDescent="0.25">
      <c r="C55" s="1464">
        <f>+C54-C22</f>
        <v>-634369999.99999619</v>
      </c>
      <c r="D55" s="1464">
        <f>+D22*10^7</f>
        <v>259184962259.99997</v>
      </c>
    </row>
    <row r="56" spans="1:4" x14ac:dyDescent="0.25">
      <c r="A56" s="1774"/>
      <c r="B56" s="1774"/>
      <c r="D56" s="1464">
        <f>+D54-D55</f>
        <v>-6343699999.9999695</v>
      </c>
    </row>
  </sheetData>
  <mergeCells count="47">
    <mergeCell ref="I36:J36"/>
    <mergeCell ref="A38:B38"/>
    <mergeCell ref="B43:C43"/>
    <mergeCell ref="D43:E43"/>
    <mergeCell ref="F43:F44"/>
    <mergeCell ref="G32:H32"/>
    <mergeCell ref="A33:B33"/>
    <mergeCell ref="A56:B56"/>
    <mergeCell ref="A36:B37"/>
    <mergeCell ref="C36:E36"/>
    <mergeCell ref="F36:H36"/>
    <mergeCell ref="A35:F35"/>
    <mergeCell ref="A32:B32"/>
    <mergeCell ref="C32:D32"/>
    <mergeCell ref="E32:F32"/>
    <mergeCell ref="G30:H30"/>
    <mergeCell ref="C31:D31"/>
    <mergeCell ref="E31:F31"/>
    <mergeCell ref="G31:H31"/>
    <mergeCell ref="A20:B20"/>
    <mergeCell ref="A21:B21"/>
    <mergeCell ref="A22:B22"/>
    <mergeCell ref="A23:F23"/>
    <mergeCell ref="A25:F25"/>
    <mergeCell ref="A26:F26"/>
    <mergeCell ref="A27:F27"/>
    <mergeCell ref="A28:F28"/>
    <mergeCell ref="A30:B31"/>
    <mergeCell ref="C30:D30"/>
    <mergeCell ref="E30:F30"/>
    <mergeCell ref="A17:B19"/>
    <mergeCell ref="C17:D17"/>
    <mergeCell ref="E17:F17"/>
    <mergeCell ref="G17:H17"/>
    <mergeCell ref="C18:D18"/>
    <mergeCell ref="E18:F18"/>
    <mergeCell ref="G18:H18"/>
    <mergeCell ref="A5:A6"/>
    <mergeCell ref="B5:B6"/>
    <mergeCell ref="C5:D5"/>
    <mergeCell ref="E5:F5"/>
    <mergeCell ref="G5:H5"/>
    <mergeCell ref="A11:A12"/>
    <mergeCell ref="B11:B12"/>
    <mergeCell ref="C11:D11"/>
    <mergeCell ref="E11:F11"/>
    <mergeCell ref="G11:H1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H87"/>
  <sheetViews>
    <sheetView topLeftCell="A4" workbookViewId="0">
      <selection activeCell="G17" sqref="G17"/>
    </sheetView>
  </sheetViews>
  <sheetFormatPr defaultColWidth="9.140625" defaultRowHeight="15" x14ac:dyDescent="0.25"/>
  <cols>
    <col min="1" max="1" width="1.42578125" style="561" customWidth="1"/>
    <col min="2" max="2" width="30.28515625" style="561" customWidth="1"/>
    <col min="3" max="3" width="10.7109375" style="561" customWidth="1"/>
    <col min="4" max="4" width="12.28515625" style="561" customWidth="1"/>
    <col min="5" max="5" width="12.140625" style="561" customWidth="1"/>
    <col min="6" max="6" width="10.7109375" style="561" customWidth="1"/>
    <col min="7" max="7" width="11.85546875" style="561" customWidth="1"/>
    <col min="8" max="9" width="10.7109375" style="561" customWidth="1"/>
    <col min="10" max="11" width="11.85546875" style="561" customWidth="1"/>
    <col min="12" max="12" width="10.7109375" style="561" customWidth="1"/>
    <col min="13" max="13" width="12.5703125" style="561" customWidth="1"/>
    <col min="14" max="14" width="10.7109375" style="561" customWidth="1"/>
    <col min="15" max="15" width="11.5703125" style="561" customWidth="1"/>
    <col min="16" max="16" width="13.42578125" style="564" customWidth="1"/>
    <col min="17" max="17" width="9" style="561" customWidth="1"/>
    <col min="18" max="18" width="10.7109375" style="561" customWidth="1"/>
    <col min="19" max="19" width="16.140625" style="561" bestFit="1" customWidth="1"/>
    <col min="20" max="20" width="18.85546875" style="561" bestFit="1" customWidth="1"/>
    <col min="21" max="21" width="18.28515625" style="561" bestFit="1" customWidth="1"/>
    <col min="22" max="22" width="19.5703125" style="561" bestFit="1" customWidth="1"/>
    <col min="23" max="23" width="13.85546875" style="561" bestFit="1" customWidth="1"/>
    <col min="24" max="24" width="19.5703125" style="561" bestFit="1" customWidth="1"/>
    <col min="25" max="25" width="18.28515625" style="561" bestFit="1" customWidth="1"/>
    <col min="26" max="26" width="16.85546875" style="561" bestFit="1" customWidth="1"/>
    <col min="27" max="85" width="8.85546875" customWidth="1"/>
    <col min="86" max="16384" width="9.140625" style="561"/>
  </cols>
  <sheetData>
    <row r="1" spans="2:86" ht="18.75" x14ac:dyDescent="0.3">
      <c r="B1" s="555" t="s">
        <v>2521</v>
      </c>
      <c r="C1" s="556"/>
      <c r="D1" s="556"/>
      <c r="E1" s="556"/>
      <c r="F1" s="557"/>
      <c r="G1" s="558">
        <f>10^7</f>
        <v>10000000</v>
      </c>
      <c r="H1" s="557"/>
      <c r="I1" s="557"/>
      <c r="J1" s="557"/>
      <c r="K1" s="557"/>
      <c r="L1" s="557"/>
      <c r="M1" s="557"/>
      <c r="N1" s="557"/>
      <c r="O1" s="557"/>
      <c r="P1" s="559"/>
      <c r="Q1" s="557"/>
      <c r="R1" s="560"/>
      <c r="V1" s="1351" t="s">
        <v>2522</v>
      </c>
    </row>
    <row r="2" spans="2:86" ht="18.75" x14ac:dyDescent="0.3">
      <c r="B2" s="562" t="s">
        <v>2523</v>
      </c>
      <c r="C2" s="563"/>
      <c r="D2" s="563"/>
      <c r="R2" s="565"/>
      <c r="V2" s="1351" t="s">
        <v>2524</v>
      </c>
    </row>
    <row r="3" spans="2:86" ht="19.5" customHeight="1" x14ac:dyDescent="0.25">
      <c r="B3" s="566"/>
      <c r="C3" s="1789" t="s">
        <v>2525</v>
      </c>
      <c r="D3" s="1789"/>
      <c r="E3" s="1789"/>
      <c r="F3" s="567"/>
      <c r="G3" s="567"/>
      <c r="H3" s="567"/>
      <c r="I3" s="567"/>
      <c r="J3" s="568"/>
      <c r="K3" s="567"/>
      <c r="L3" s="567"/>
      <c r="M3" s="567"/>
      <c r="N3" s="567"/>
      <c r="O3" s="567"/>
      <c r="P3" s="569"/>
      <c r="Q3" s="570"/>
      <c r="R3" s="571"/>
      <c r="V3" s="1351" t="s">
        <v>2526</v>
      </c>
    </row>
    <row r="4" spans="2:86" ht="15.75" customHeight="1" x14ac:dyDescent="0.25">
      <c r="B4" s="1790" t="s">
        <v>2527</v>
      </c>
      <c r="C4" s="572" t="s">
        <v>2528</v>
      </c>
      <c r="D4" s="573"/>
      <c r="E4" s="573"/>
      <c r="F4" s="573"/>
      <c r="G4" s="573"/>
      <c r="H4" s="573"/>
      <c r="I4" s="573"/>
      <c r="J4" s="573"/>
      <c r="K4" s="573"/>
      <c r="L4" s="573"/>
      <c r="M4" s="573"/>
      <c r="N4" s="573"/>
      <c r="O4" s="573"/>
      <c r="P4" s="574"/>
      <c r="Q4" s="1791" t="s">
        <v>2529</v>
      </c>
      <c r="R4" s="1792"/>
      <c r="V4" s="1351" t="s">
        <v>2530</v>
      </c>
    </row>
    <row r="5" spans="2:86" ht="31.5" customHeight="1" x14ac:dyDescent="0.25">
      <c r="B5" s="1790"/>
      <c r="C5" s="1793" t="s">
        <v>2531</v>
      </c>
      <c r="D5" s="1794"/>
      <c r="E5" s="1793" t="s">
        <v>470</v>
      </c>
      <c r="F5" s="1794"/>
      <c r="G5" s="1787" t="s">
        <v>2532</v>
      </c>
      <c r="H5" s="1793" t="s">
        <v>2533</v>
      </c>
      <c r="I5" s="1794"/>
      <c r="J5" s="1787" t="s">
        <v>2534</v>
      </c>
      <c r="K5" s="1787" t="s">
        <v>2535</v>
      </c>
      <c r="L5" s="1787" t="s">
        <v>2536</v>
      </c>
      <c r="M5" s="1787" t="s">
        <v>2537</v>
      </c>
      <c r="N5" s="1787" t="s">
        <v>2538</v>
      </c>
      <c r="O5" s="1787" t="s">
        <v>2539</v>
      </c>
      <c r="P5" s="1795" t="s">
        <v>2540</v>
      </c>
      <c r="Q5" s="1797" t="s">
        <v>2541</v>
      </c>
      <c r="R5" s="1787" t="s">
        <v>2542</v>
      </c>
      <c r="V5" s="1351" t="s">
        <v>2543</v>
      </c>
    </row>
    <row r="6" spans="2:86" ht="110.25" customHeight="1" x14ac:dyDescent="0.25">
      <c r="B6" s="1790"/>
      <c r="C6" s="1352" t="s">
        <v>2544</v>
      </c>
      <c r="D6" s="1352" t="s">
        <v>2545</v>
      </c>
      <c r="E6" s="1352" t="s">
        <v>2546</v>
      </c>
      <c r="F6" s="1352" t="s">
        <v>2547</v>
      </c>
      <c r="G6" s="1788"/>
      <c r="H6" s="1352" t="s">
        <v>487</v>
      </c>
      <c r="I6" s="1352" t="s">
        <v>2548</v>
      </c>
      <c r="J6" s="1788"/>
      <c r="K6" s="1788"/>
      <c r="L6" s="1788"/>
      <c r="M6" s="1788"/>
      <c r="N6" s="1788"/>
      <c r="O6" s="1788"/>
      <c r="P6" s="1796"/>
      <c r="Q6" s="1798"/>
      <c r="R6" s="1788"/>
      <c r="V6" s="1351" t="s">
        <v>2549</v>
      </c>
    </row>
    <row r="7" spans="2:86" ht="20.100000000000001" customHeight="1" x14ac:dyDescent="0.25">
      <c r="B7" s="526" t="str">
        <f>'[15]Statement of changes in equity'!$A$5</f>
        <v>As on 31.03.2021</v>
      </c>
      <c r="C7" s="1353">
        <f>'[15]FA working'!C9/10^7</f>
        <v>1656.562519389</v>
      </c>
      <c r="D7" s="1353">
        <f>'[15]FA working'!D9/10^7</f>
        <v>106.10673793423894</v>
      </c>
      <c r="E7" s="1353">
        <f>'[15]FA working'!E9/10^7</f>
        <v>884.55090829945505</v>
      </c>
      <c r="F7" s="1353">
        <f>'[15]FA working'!F9/10^7</f>
        <v>1164.38331660771</v>
      </c>
      <c r="G7" s="1353">
        <f>'[15]FA working'!G9/10^7</f>
        <v>2510.2206283737123</v>
      </c>
      <c r="H7" s="1353">
        <f>'[15]FA working'!H9/10^7</f>
        <v>1586.247036369268</v>
      </c>
      <c r="I7" s="1353">
        <f>'[15]FA working'!I9/10^7</f>
        <v>691.04873962359829</v>
      </c>
      <c r="J7" s="1353">
        <f>'[15]FA working'!J9/10^7</f>
        <v>37153.117926569299</v>
      </c>
      <c r="K7" s="1353">
        <f>'[15]FA working'!K9/10^7</f>
        <v>489.25734806947963</v>
      </c>
      <c r="L7" s="1353">
        <f>'[15]FA working'!L9/10^7</f>
        <v>28.616702913308067</v>
      </c>
      <c r="M7" s="1353">
        <f>'[15]FA working'!M9/10^7</f>
        <v>33.997282409049333</v>
      </c>
      <c r="N7" s="1353">
        <f>'[15]FA working'!N9/10^7</f>
        <v>56.983642216330054</v>
      </c>
      <c r="O7" s="1353">
        <f>'[15]FA working'!O9/10^7</f>
        <v>57.487613597000006</v>
      </c>
      <c r="P7" s="1353">
        <f t="shared" ref="P7:P13" si="0">SUM(C7:O7)</f>
        <v>46418.580402371445</v>
      </c>
      <c r="Q7" s="1353"/>
      <c r="R7" s="1353"/>
      <c r="V7" s="1351" t="s">
        <v>2543</v>
      </c>
      <c r="CH7" s="564"/>
    </row>
    <row r="8" spans="2:86" ht="20.100000000000001" customHeight="1" x14ac:dyDescent="0.25">
      <c r="B8" s="575" t="s">
        <v>249</v>
      </c>
      <c r="C8" s="1353">
        <f>'[15]FA working'!C11/10^7</f>
        <v>9.5660226999999995</v>
      </c>
      <c r="D8" s="1353">
        <f>'[15]FA working'!D11/10^7</f>
        <v>0</v>
      </c>
      <c r="E8" s="1353">
        <f>'[15]FA working'!E11/10^7</f>
        <v>1.4966800339999997</v>
      </c>
      <c r="F8" s="1353">
        <f>'[15]FA working'!F11/10^7</f>
        <v>51.784460027000002</v>
      </c>
      <c r="G8" s="1353">
        <f>'[15]FA working'!G11/10^7</f>
        <v>116.17059563800001</v>
      </c>
      <c r="H8" s="1353">
        <f>'[15]FA working'!H11/10^7</f>
        <v>24.591872205000001</v>
      </c>
      <c r="I8" s="1353">
        <f>'[15]FA working'!I11/10^7</f>
        <v>498.20401104400003</v>
      </c>
      <c r="J8" s="1353">
        <f>'[15]FA working'!J11/10^7</f>
        <v>771.00159291400007</v>
      </c>
      <c r="K8" s="1353">
        <f>'[15]FA working'!K11/10^7</f>
        <v>61.433232873000001</v>
      </c>
      <c r="L8" s="1353">
        <f>'[15]FA working'!L11/10^7</f>
        <v>10.347818459999999</v>
      </c>
      <c r="M8" s="1353">
        <f>'[15]FA working'!M11/10^7</f>
        <v>1.7591017059999998</v>
      </c>
      <c r="N8" s="1353">
        <f>'[15]FA working'!N11/10^7</f>
        <v>5.982555015</v>
      </c>
      <c r="O8" s="1353">
        <f>'[15]FA working'!O11/10^7</f>
        <v>0</v>
      </c>
      <c r="P8" s="1353">
        <f t="shared" si="0"/>
        <v>1552.337942616</v>
      </c>
      <c r="Q8" s="1353"/>
      <c r="R8" s="1353"/>
      <c r="S8" s="576">
        <f>P8+'[15]Note 1A'!C32</f>
        <v>1555.219953089</v>
      </c>
      <c r="V8" s="1351" t="s">
        <v>2522</v>
      </c>
      <c r="X8" s="577"/>
      <c r="CH8" s="564"/>
    </row>
    <row r="9" spans="2:86" ht="20.100000000000001" customHeight="1" x14ac:dyDescent="0.25">
      <c r="B9" s="575" t="s">
        <v>2550</v>
      </c>
      <c r="C9" s="1353">
        <f>'[15]FA working'!C12/10^7</f>
        <v>0</v>
      </c>
      <c r="D9" s="1353">
        <f>'[15]FA working'!D12/10^7</f>
        <v>0</v>
      </c>
      <c r="E9" s="1353">
        <f>'[15]FA working'!E12/10^7</f>
        <v>0</v>
      </c>
      <c r="F9" s="1353">
        <f>'[15]FA working'!F12/10^7</f>
        <v>0.69821363300000006</v>
      </c>
      <c r="G9" s="1353">
        <f>'[15]FA working'!G12/10^7</f>
        <v>4.192099367</v>
      </c>
      <c r="H9" s="1353">
        <f>'[15]FA working'!H12/10^7</f>
        <v>426.843938154</v>
      </c>
      <c r="I9" s="1353">
        <f>'[15]FA working'!I12/10^7</f>
        <v>5.3838700009999991</v>
      </c>
      <c r="J9" s="1353">
        <f>'[15]FA working'!J12/10^7</f>
        <v>532.67920600499997</v>
      </c>
      <c r="K9" s="1353">
        <f>'[15]FA working'!K12/10^7</f>
        <v>2.934815398</v>
      </c>
      <c r="L9" s="1353">
        <f>'[15]FA working'!L12/10^7</f>
        <v>0.13700109999999999</v>
      </c>
      <c r="M9" s="1353">
        <f>'[15]FA working'!M12/10^7</f>
        <v>0</v>
      </c>
      <c r="N9" s="1353">
        <f>'[15]FA working'!N12/10^7</f>
        <v>9.3271300000000001E-2</v>
      </c>
      <c r="O9" s="1353">
        <f>'[15]FA working'!O12/10^7</f>
        <v>0</v>
      </c>
      <c r="P9" s="1353">
        <f t="shared" si="0"/>
        <v>972.96241495799984</v>
      </c>
      <c r="Q9" s="1353"/>
      <c r="R9" s="1353"/>
      <c r="V9" s="1351" t="s">
        <v>2524</v>
      </c>
      <c r="X9" s="577"/>
      <c r="CH9" s="564"/>
    </row>
    <row r="10" spans="2:86" ht="20.100000000000001" customHeight="1" x14ac:dyDescent="0.25">
      <c r="B10" s="526" t="str">
        <f>'[15]Statement of changes in equity'!$A$9</f>
        <v>As at 31.03.2022</v>
      </c>
      <c r="C10" s="1354">
        <f t="shared" ref="C10:O10" si="1">C7+C8-C9</f>
        <v>1666.1285420890001</v>
      </c>
      <c r="D10" s="1354">
        <f t="shared" si="1"/>
        <v>106.10673793423894</v>
      </c>
      <c r="E10" s="1354">
        <f t="shared" si="1"/>
        <v>886.047588333455</v>
      </c>
      <c r="F10" s="1354">
        <f t="shared" si="1"/>
        <v>1215.46956300171</v>
      </c>
      <c r="G10" s="1354">
        <f t="shared" si="1"/>
        <v>2622.1991246447124</v>
      </c>
      <c r="H10" s="1354">
        <f t="shared" si="1"/>
        <v>1183.9949704202681</v>
      </c>
      <c r="I10" s="1354">
        <f t="shared" si="1"/>
        <v>1183.8688806665982</v>
      </c>
      <c r="J10" s="1354">
        <f t="shared" si="1"/>
        <v>37391.440313478299</v>
      </c>
      <c r="K10" s="1354">
        <f t="shared" si="1"/>
        <v>547.75576554447969</v>
      </c>
      <c r="L10" s="1354">
        <f t="shared" si="1"/>
        <v>38.827520273308068</v>
      </c>
      <c r="M10" s="1354">
        <f t="shared" si="1"/>
        <v>35.756384115049336</v>
      </c>
      <c r="N10" s="1354">
        <f t="shared" si="1"/>
        <v>62.872925931330059</v>
      </c>
      <c r="O10" s="1354">
        <f t="shared" si="1"/>
        <v>57.487613597000006</v>
      </c>
      <c r="P10" s="1353">
        <f t="shared" si="0"/>
        <v>46997.955930029442</v>
      </c>
      <c r="Q10" s="1354"/>
      <c r="R10" s="1354"/>
      <c r="V10" s="1351" t="s">
        <v>2526</v>
      </c>
      <c r="X10" s="577"/>
      <c r="CH10" s="564"/>
    </row>
    <row r="11" spans="2:86" ht="20.100000000000001" customHeight="1" x14ac:dyDescent="0.25">
      <c r="B11" s="575" t="s">
        <v>249</v>
      </c>
      <c r="C11" s="1353">
        <f>+'[15]FA working'!C16/10^7</f>
        <v>12.623170281</v>
      </c>
      <c r="D11" s="1353">
        <f>+'[15]FA working'!D16/10^7</f>
        <v>0</v>
      </c>
      <c r="E11" s="1353">
        <f>+'[15]FA working'!E16/10^7</f>
        <v>-0.28295460899999997</v>
      </c>
      <c r="F11" s="1353">
        <f>+'[15]FA working'!F16/10^7</f>
        <v>16.793110793</v>
      </c>
      <c r="G11" s="1353">
        <f>+'[15]FA working'!G16/10^7</f>
        <v>18.007464134999999</v>
      </c>
      <c r="H11" s="1353">
        <f>+'[15]FA working'!H16/10^7</f>
        <v>33.759840695000001</v>
      </c>
      <c r="I11" s="1353">
        <f>+'[15]FA working'!I16/10^7</f>
        <v>40.948786641999995</v>
      </c>
      <c r="J11" s="1353">
        <f>+'[15]FA working'!J16/10^7</f>
        <v>693.02967241299996</v>
      </c>
      <c r="K11" s="1354">
        <f>+'[15]FA working'!K16/10^7</f>
        <v>0</v>
      </c>
      <c r="L11" s="1354">
        <f>+'[15]FA working'!L16/10^7</f>
        <v>18.376031125999997</v>
      </c>
      <c r="M11" s="1354">
        <f>+'[15]FA working'!M16/10^7</f>
        <v>1.0752101029999999</v>
      </c>
      <c r="N11" s="1354">
        <f>+'[15]FA working'!N16/10^7</f>
        <v>14.508700222999998</v>
      </c>
      <c r="O11" s="1354">
        <f>+'[15]FA working'!O16/10^7</f>
        <v>0</v>
      </c>
      <c r="P11" s="1353">
        <f t="shared" si="0"/>
        <v>848.83903180200002</v>
      </c>
      <c r="Q11" s="1354"/>
      <c r="R11" s="1354"/>
      <c r="V11" s="1351"/>
      <c r="X11" s="577"/>
      <c r="CH11" s="564"/>
    </row>
    <row r="12" spans="2:86" ht="20.100000000000001" customHeight="1" x14ac:dyDescent="0.25">
      <c r="B12" s="575" t="s">
        <v>2550</v>
      </c>
      <c r="C12" s="1354">
        <f>+'[15]FA working'!C17/10^7</f>
        <v>0</v>
      </c>
      <c r="D12" s="1354">
        <f>+'[15]FA working'!D17/10^7</f>
        <v>0</v>
      </c>
      <c r="E12" s="1354">
        <f>+'[15]FA working'!E17/10^7</f>
        <v>0</v>
      </c>
      <c r="F12" s="1354">
        <f>+'[15]FA working'!F17/10^7</f>
        <v>2.8251251229999998</v>
      </c>
      <c r="G12" s="1354">
        <f>+'[15]FA working'!G17/10^7</f>
        <v>0</v>
      </c>
      <c r="H12" s="1354">
        <f>+'[15]FA working'!H17/10^7</f>
        <v>-7.658598543000001</v>
      </c>
      <c r="I12" s="1354">
        <f>+'[15]FA working'!I17/10^7</f>
        <v>0</v>
      </c>
      <c r="J12" s="1354">
        <f>+'[15]FA working'!J17/10^7</f>
        <v>4.8439625800000004</v>
      </c>
      <c r="K12" s="1354">
        <f>+'[15]FA working'!K17/10^7</f>
        <v>0</v>
      </c>
      <c r="L12" s="1354">
        <f>+'[15]FA working'!L17/10^7</f>
        <v>-0.16358247000000001</v>
      </c>
      <c r="M12" s="1354">
        <f>+'[15]FA working'!M17/10^7</f>
        <v>4.6256500000000088E-4</v>
      </c>
      <c r="N12" s="1354">
        <f>+'[15]FA working'!N17/10^7</f>
        <v>3.1382396630000002</v>
      </c>
      <c r="O12" s="1354">
        <f>+'[15]FA working'!O17/10^7</f>
        <v>0</v>
      </c>
      <c r="P12" s="1353">
        <f t="shared" si="0"/>
        <v>2.9856089180000001</v>
      </c>
      <c r="Q12" s="1354"/>
      <c r="R12" s="1354"/>
      <c r="T12" s="564"/>
      <c r="V12" s="1351"/>
      <c r="X12" s="577"/>
      <c r="CH12" s="564"/>
    </row>
    <row r="13" spans="2:86" ht="20.100000000000001" customHeight="1" x14ac:dyDescent="0.25">
      <c r="B13" s="526" t="str">
        <f>'[15]Statement of changes in equity'!$A$11</f>
        <v>As at 31.03.2023</v>
      </c>
      <c r="C13" s="1354">
        <f t="shared" ref="C13:O13" si="2">C10+C11-C12</f>
        <v>1678.7517123700002</v>
      </c>
      <c r="D13" s="1354">
        <f t="shared" si="2"/>
        <v>106.10673793423894</v>
      </c>
      <c r="E13" s="1354">
        <f t="shared" si="2"/>
        <v>885.76463372445505</v>
      </c>
      <c r="F13" s="1354">
        <f t="shared" si="2"/>
        <v>1229.4375486717101</v>
      </c>
      <c r="G13" s="1354">
        <f t="shared" si="2"/>
        <v>2640.2065887797125</v>
      </c>
      <c r="H13" s="1354">
        <f t="shared" si="2"/>
        <v>1225.4134096582682</v>
      </c>
      <c r="I13" s="1354">
        <f t="shared" si="2"/>
        <v>1224.8176673085982</v>
      </c>
      <c r="J13" s="1354">
        <f t="shared" si="2"/>
        <v>38079.626023311299</v>
      </c>
      <c r="K13" s="1354">
        <f t="shared" si="2"/>
        <v>547.75576554447969</v>
      </c>
      <c r="L13" s="1354">
        <f t="shared" si="2"/>
        <v>57.36713386930807</v>
      </c>
      <c r="M13" s="1354">
        <f t="shared" si="2"/>
        <v>36.831131653049333</v>
      </c>
      <c r="N13" s="1354">
        <f t="shared" si="2"/>
        <v>74.243386491330057</v>
      </c>
      <c r="O13" s="1354">
        <f t="shared" si="2"/>
        <v>57.487613597000006</v>
      </c>
      <c r="P13" s="1353">
        <f t="shared" si="0"/>
        <v>47843.809352913449</v>
      </c>
      <c r="Q13" s="1354"/>
      <c r="R13" s="1354"/>
      <c r="T13" s="564"/>
      <c r="V13" s="1351"/>
      <c r="X13" s="577"/>
      <c r="CH13" s="564"/>
    </row>
    <row r="14" spans="2:86" ht="9" hidden="1" customHeight="1" x14ac:dyDescent="0.25">
      <c r="B14" s="578"/>
      <c r="C14" s="1354"/>
      <c r="D14" s="1354"/>
      <c r="E14" s="1354"/>
      <c r="F14" s="1354"/>
      <c r="G14" s="1354"/>
      <c r="H14" s="1354"/>
      <c r="I14" s="1354"/>
      <c r="J14" s="1354"/>
      <c r="K14" s="1354"/>
      <c r="L14" s="1354"/>
      <c r="M14" s="1354"/>
      <c r="N14" s="1354"/>
      <c r="O14" s="1354"/>
      <c r="P14" s="1353"/>
      <c r="Q14" s="1354"/>
      <c r="R14" s="1354"/>
      <c r="U14" s="564"/>
      <c r="V14" s="1351" t="s">
        <v>2530</v>
      </c>
      <c r="X14" s="577"/>
      <c r="CH14" s="564"/>
    </row>
    <row r="15" spans="2:86" ht="29.25" customHeight="1" x14ac:dyDescent="0.25">
      <c r="B15" s="579" t="s">
        <v>2551</v>
      </c>
      <c r="C15" s="1353"/>
      <c r="D15" s="1353"/>
      <c r="E15" s="1353"/>
      <c r="F15" s="1353"/>
      <c r="G15" s="1353"/>
      <c r="H15" s="1353"/>
      <c r="I15" s="1353"/>
      <c r="J15" s="1353"/>
      <c r="K15" s="1353"/>
      <c r="L15" s="1353"/>
      <c r="M15" s="1353"/>
      <c r="N15" s="1353"/>
      <c r="O15" s="1353"/>
      <c r="P15" s="1353"/>
      <c r="Q15" s="1353"/>
      <c r="R15" s="1353"/>
      <c r="V15" s="1351" t="s">
        <v>2543</v>
      </c>
      <c r="X15" s="577"/>
      <c r="CH15" s="564"/>
    </row>
    <row r="16" spans="2:86" ht="29.25" customHeight="1" x14ac:dyDescent="0.25">
      <c r="B16" s="526" t="str">
        <f>'[15]Statement of changes in equity'!$A$5</f>
        <v>As on 31.03.2021</v>
      </c>
      <c r="C16" s="1353">
        <f>'[15]FA working'!C23/10^7</f>
        <v>0</v>
      </c>
      <c r="D16" s="1353">
        <f>'[15]FA working'!D23/10^7</f>
        <v>26.25595563423893</v>
      </c>
      <c r="E16" s="1353">
        <f>'[15]FA working'!E23/10^7</f>
        <v>128.08460534945499</v>
      </c>
      <c r="F16" s="1353">
        <f>'[15]FA working'!F23/10^7</f>
        <v>394.99354026471099</v>
      </c>
      <c r="G16" s="1353">
        <f>'[15]FA working'!G23/10^7</f>
        <v>766.94881684471193</v>
      </c>
      <c r="H16" s="1353">
        <f>'[15]FA working'!H23/10^7</f>
        <v>340.54342938426799</v>
      </c>
      <c r="I16" s="1353">
        <f>'[15]FA working'!I23/10^7</f>
        <v>129.94292426159799</v>
      </c>
      <c r="J16" s="1353">
        <f>'[15]FA working'!J23/10^7</f>
        <v>10164.580268511312</v>
      </c>
      <c r="K16" s="1353">
        <f>'[15]FA working'!K23/10^7</f>
        <v>158.09480139547958</v>
      </c>
      <c r="L16" s="1353">
        <f>'[15]FA working'!L23/10^7</f>
        <v>5.5881843433080602</v>
      </c>
      <c r="M16" s="1353">
        <f>'[15]FA working'!M23/10^7</f>
        <v>11.58534259104934</v>
      </c>
      <c r="N16" s="1353">
        <f>'[15]FA working'!N23/10^7</f>
        <v>23.197666815330098</v>
      </c>
      <c r="O16" s="1353">
        <f>'[15]FA working'!O23/10^7</f>
        <v>26.399635456999999</v>
      </c>
      <c r="P16" s="1353">
        <f t="shared" ref="P16" si="3">SUM(C16:O16)</f>
        <v>12176.215170852465</v>
      </c>
      <c r="Q16" s="1353"/>
      <c r="R16" s="1353"/>
      <c r="V16" s="1351" t="s">
        <v>2530</v>
      </c>
      <c r="X16" s="577"/>
      <c r="CH16" s="564"/>
    </row>
    <row r="17" spans="2:86" ht="20.100000000000001" customHeight="1" x14ac:dyDescent="0.25">
      <c r="B17" s="575" t="s">
        <v>249</v>
      </c>
      <c r="C17" s="1353">
        <f>('[15]FA working'!C24+'[15]FA working'!C25)/10^7</f>
        <v>0</v>
      </c>
      <c r="D17" s="1353">
        <f>('[15]FA working'!D24+'[15]FA working'!D25)/10^7</f>
        <v>4.9164796500000003</v>
      </c>
      <c r="E17" s="1353">
        <f>('[15]FA working'!E24+'[15]FA working'!E25)/10^7</f>
        <v>36.730686130000002</v>
      </c>
      <c r="F17" s="1353">
        <f>('[15]FA working'!F24+'[15]FA working'!F25)/10^7</f>
        <v>80.612793171000007</v>
      </c>
      <c r="G17" s="1353">
        <f>('[15]FA working'!G24+'[15]FA working'!G25)/10^7</f>
        <v>140.11701600999999</v>
      </c>
      <c r="H17" s="1353">
        <f>('[15]FA working'!H24+'[15]FA working'!H25)/10^7</f>
        <v>90.144605865999992</v>
      </c>
      <c r="I17" s="1353">
        <f>('[15]FA working'!I24+'[15]FA working'!I25)/10^7</f>
        <v>25.963881740000005</v>
      </c>
      <c r="J17" s="1353">
        <f>('[15]FA working'!J24+'[15]FA working'!J25)/10^7</f>
        <v>2110.4148255560003</v>
      </c>
      <c r="K17" s="1353">
        <f>('[15]FA working'!K24+'[15]FA working'!K25)/10^7</f>
        <v>23.650782100000001</v>
      </c>
      <c r="L17" s="1353">
        <f>('[15]FA working'!L24+'[15]FA working'!L25)/10^7</f>
        <v>3.4598893890000002</v>
      </c>
      <c r="M17" s="1353">
        <f>('[15]FA working'!M24+'[15]FA working'!M25)/10^7</f>
        <v>2.9858798019999999</v>
      </c>
      <c r="N17" s="1353">
        <f>('[15]FA working'!N24+'[15]FA working'!N25)/10^7</f>
        <v>6.0509365109999997</v>
      </c>
      <c r="O17" s="1353">
        <f>('[15]FA working'!O24+'[15]FA working'!O25)/10^7</f>
        <v>4.8898485599999999</v>
      </c>
      <c r="P17" s="1353">
        <f>SUM(C17:O17)</f>
        <v>2529.9376244850005</v>
      </c>
      <c r="Q17" s="1355">
        <f>+'[15]FA working'!S24/10^7</f>
        <v>0.23109170000000001</v>
      </c>
      <c r="R17" s="1355">
        <f>+P17-Q17</f>
        <v>2529.7065327850005</v>
      </c>
      <c r="V17" s="1351" t="s">
        <v>2543</v>
      </c>
      <c r="X17" s="577"/>
      <c r="CH17" s="564"/>
    </row>
    <row r="18" spans="2:86" ht="20.100000000000001" customHeight="1" x14ac:dyDescent="0.25">
      <c r="B18" s="575" t="s">
        <v>2552</v>
      </c>
      <c r="C18" s="1353">
        <f>(+'[15]FA working'!C26)/10^7</f>
        <v>0</v>
      </c>
      <c r="D18" s="1353">
        <f>(+'[15]FA working'!D26)/10^7</f>
        <v>0</v>
      </c>
      <c r="E18" s="1353">
        <f>(+'[15]FA working'!E26)/10^7</f>
        <v>5.5452799999999997E-2</v>
      </c>
      <c r="F18" s="1353">
        <f>(+'[15]FA working'!F26)/10^7</f>
        <v>0.64498385999999996</v>
      </c>
      <c r="G18" s="1353">
        <f>(+'[15]FA working'!G26)/10^7</f>
        <v>3.2972325269999998</v>
      </c>
      <c r="H18" s="1353">
        <f>(+'[15]FA working'!H26)/10^7</f>
        <v>105.380077867</v>
      </c>
      <c r="I18" s="1353">
        <f>(+'[15]FA working'!I26)/10^7</f>
        <v>-96.286080987000005</v>
      </c>
      <c r="J18" s="1353">
        <f>(+'[15]FA working'!J26)/10^7</f>
        <v>485.56201768400001</v>
      </c>
      <c r="K18" s="1353">
        <f>(+'[15]FA working'!K26)/10^7</f>
        <v>-15.947357906999999</v>
      </c>
      <c r="L18" s="1353">
        <f>(+'[15]FA working'!L26)/10^7</f>
        <v>0.12330098999999999</v>
      </c>
      <c r="M18" s="1353">
        <f>(+'[15]FA working'!M26)/10^7</f>
        <v>-1.3825799999999999E-2</v>
      </c>
      <c r="N18" s="1353">
        <f>(+'[15]FA working'!N26)/10^7</f>
        <v>8.2890270000000002E-2</v>
      </c>
      <c r="O18" s="1353">
        <f>(+'[15]FA working'!O26)/10^7</f>
        <v>2.194246E-2</v>
      </c>
      <c r="P18" s="1353">
        <f>SUM(C18:O18)</f>
        <v>482.920633764</v>
      </c>
      <c r="Q18" s="1353"/>
      <c r="R18" s="1353"/>
      <c r="S18" s="580"/>
      <c r="V18" s="1351" t="s">
        <v>2522</v>
      </c>
      <c r="X18" s="577"/>
      <c r="CH18" s="564"/>
    </row>
    <row r="19" spans="2:86" ht="20.100000000000001" customHeight="1" x14ac:dyDescent="0.25">
      <c r="B19" s="526" t="str">
        <f>'[15]Statement of changes in equity'!$A$9</f>
        <v>As at 31.03.2022</v>
      </c>
      <c r="C19" s="1353">
        <f t="shared" ref="C19:O19" si="4">C16+C17-C18</f>
        <v>0</v>
      </c>
      <c r="D19" s="1353">
        <f t="shared" si="4"/>
        <v>31.172435284238929</v>
      </c>
      <c r="E19" s="1353">
        <f t="shared" si="4"/>
        <v>164.75983867945499</v>
      </c>
      <c r="F19" s="1353">
        <f t="shared" si="4"/>
        <v>474.96134957571098</v>
      </c>
      <c r="G19" s="1353">
        <f t="shared" si="4"/>
        <v>903.76860032771197</v>
      </c>
      <c r="H19" s="1353">
        <f t="shared" si="4"/>
        <v>325.30795738326799</v>
      </c>
      <c r="I19" s="1353">
        <f t="shared" si="4"/>
        <v>252.19288698859799</v>
      </c>
      <c r="J19" s="1353">
        <f t="shared" si="4"/>
        <v>11789.433076383311</v>
      </c>
      <c r="K19" s="1353">
        <f t="shared" si="4"/>
        <v>197.69294140247959</v>
      </c>
      <c r="L19" s="1353">
        <f t="shared" si="4"/>
        <v>8.9247727423080594</v>
      </c>
      <c r="M19" s="1353">
        <f t="shared" si="4"/>
        <v>14.585048193049339</v>
      </c>
      <c r="N19" s="1353">
        <f t="shared" si="4"/>
        <v>29.165713056330098</v>
      </c>
      <c r="O19" s="1353">
        <f t="shared" si="4"/>
        <v>31.267541556999998</v>
      </c>
      <c r="P19" s="1353">
        <f>SUM(C19:O19)</f>
        <v>14223.232161573462</v>
      </c>
      <c r="Q19" s="1353"/>
      <c r="R19" s="1353"/>
      <c r="V19" s="1351" t="s">
        <v>2524</v>
      </c>
      <c r="X19" s="577"/>
      <c r="CH19" s="564"/>
    </row>
    <row r="20" spans="2:86" ht="20.100000000000001" customHeight="1" x14ac:dyDescent="0.25">
      <c r="B20" s="575" t="s">
        <v>249</v>
      </c>
      <c r="C20" s="1356">
        <f>(('[15]FA working'!C29+'[15]FA working'!C30)/10^7)</f>
        <v>0</v>
      </c>
      <c r="D20" s="1356">
        <f>(('[15]FA working'!D29+'[15]FA working'!D30)/10^7)</f>
        <v>4.2543571</v>
      </c>
      <c r="E20" s="1356">
        <f>(('[15]FA working'!E29+'[15]FA working'!E30)/10^7)</f>
        <v>36.6522316</v>
      </c>
      <c r="F20" s="1356">
        <f>(('[15]FA working'!F29+'[15]FA working'!F30)/10^7)</f>
        <v>30.069519393</v>
      </c>
      <c r="G20" s="1356">
        <f>(('[15]FA working'!G29+'[15]FA working'!G30)/10^7)</f>
        <v>140.86410847900001</v>
      </c>
      <c r="H20" s="1356">
        <f>(('[15]FA working'!H29+'[15]FA working'!H30)/10^7)</f>
        <v>38.984386724000004</v>
      </c>
      <c r="I20" s="1356">
        <f>(('[15]FA working'!I29+'[15]FA working'!I30)/10^7)</f>
        <v>46.722868760000004</v>
      </c>
      <c r="J20" s="1356">
        <f>(('[15]FA working'!J29+'[15]FA working'!J30)/10^7)</f>
        <v>2246.210439557</v>
      </c>
      <c r="K20" s="1356">
        <f>(('[15]FA working'!K29+'[15]FA working'!K30)/10^7)</f>
        <v>26.877271499999999</v>
      </c>
      <c r="L20" s="1356">
        <f>(('[15]FA working'!L29+'[15]FA working'!L30)/10^7)</f>
        <v>4.6919517700000002</v>
      </c>
      <c r="M20" s="1356">
        <f>(('[15]FA working'!M29+'[15]FA working'!M30)/10^7)</f>
        <v>2.6841433920000002</v>
      </c>
      <c r="N20" s="1356">
        <f>(('[15]FA working'!N29+'[15]FA working'!N30)/10^7)</f>
        <v>7.1403556629999994</v>
      </c>
      <c r="O20" s="1356">
        <f>(('[15]FA working'!O29+'[15]FA working'!O30)/10^7)</f>
        <v>3.7538632000000001</v>
      </c>
      <c r="P20" s="1353">
        <f>SUM(C20:O20)</f>
        <v>2588.9054971379996</v>
      </c>
      <c r="Q20" s="1357">
        <f>'[15]FA working'!S29/10^7</f>
        <v>1.6205208659999963</v>
      </c>
      <c r="R20" s="1355">
        <f>+P20-Q20</f>
        <v>2587.2849762719998</v>
      </c>
      <c r="S20" s="580">
        <f>+'[15]Note 1A'!C18+'[15]Note 1A'!D40</f>
        <v>1.7311343879999999</v>
      </c>
      <c r="T20" s="1358">
        <f>+R20+S20</f>
        <v>2589.0161106599999</v>
      </c>
      <c r="U20" s="561">
        <f>+'[15]balance sheet P&amp;L'!D89</f>
        <v>2842.8386249599998</v>
      </c>
      <c r="V20" s="1359">
        <f>+T20-U20</f>
        <v>-253.82251429999997</v>
      </c>
      <c r="X20" s="577"/>
      <c r="CH20" s="564"/>
    </row>
    <row r="21" spans="2:86" ht="20.100000000000001" customHeight="1" x14ac:dyDescent="0.25">
      <c r="B21" s="575" t="s">
        <v>2552</v>
      </c>
      <c r="C21" s="1356">
        <f>'[15]FA working'!C31/10^7</f>
        <v>0</v>
      </c>
      <c r="D21" s="1356">
        <f>'[15]FA working'!D31/10^7</f>
        <v>0</v>
      </c>
      <c r="E21" s="1356">
        <f>'[15]FA working'!E31/10^7</f>
        <v>0</v>
      </c>
      <c r="F21" s="1356">
        <f>'[15]FA working'!F31/10^7</f>
        <v>2.5426126129999997</v>
      </c>
      <c r="G21" s="1356">
        <f>'[15]FA working'!G31/10^7</f>
        <v>0</v>
      </c>
      <c r="H21" s="1356">
        <f>'[15]FA working'!H31/10^7</f>
        <v>0</v>
      </c>
      <c r="I21" s="1356">
        <f>'[15]FA working'!I31/10^7</f>
        <v>0</v>
      </c>
      <c r="J21" s="1356">
        <f>'[15]FA working'!J31/10^7</f>
        <v>0.94101403099999914</v>
      </c>
      <c r="K21" s="1356">
        <f>'[15]FA working'!K31/10^7</f>
        <v>0</v>
      </c>
      <c r="L21" s="1356">
        <f>'[15]FA working'!L31/10^7</f>
        <v>2.3603814700000001</v>
      </c>
      <c r="M21" s="1356">
        <f>'[15]FA working'!M31/10^7</f>
        <v>1.8607954999999999E-2</v>
      </c>
      <c r="N21" s="1356">
        <f>'[15]FA working'!N31/10^7</f>
        <v>2.9787198020000001</v>
      </c>
      <c r="O21" s="1356">
        <f>'[15]FA working'!O31/10^7</f>
        <v>0</v>
      </c>
      <c r="P21" s="1353">
        <f>SUM(C21:O21)</f>
        <v>8.8413358710000001</v>
      </c>
      <c r="Q21" s="1357"/>
      <c r="R21" s="1356"/>
      <c r="V21" s="1351"/>
      <c r="X21" s="577"/>
      <c r="CH21" s="564"/>
    </row>
    <row r="22" spans="2:86" ht="20.100000000000001" customHeight="1" x14ac:dyDescent="0.25">
      <c r="B22" s="526" t="str">
        <f>'[15]Statement of changes in equity'!$A$11</f>
        <v>As at 31.03.2023</v>
      </c>
      <c r="C22" s="1353">
        <f t="shared" ref="C22:P22" si="5">C19+C20-C21</f>
        <v>0</v>
      </c>
      <c r="D22" s="1353">
        <f t="shared" si="5"/>
        <v>35.426792384238929</v>
      </c>
      <c r="E22" s="1353">
        <f t="shared" si="5"/>
        <v>201.41207027945498</v>
      </c>
      <c r="F22" s="1353">
        <f t="shared" si="5"/>
        <v>502.48825635571097</v>
      </c>
      <c r="G22" s="1353">
        <f t="shared" si="5"/>
        <v>1044.6327088067119</v>
      </c>
      <c r="H22" s="1353">
        <f t="shared" si="5"/>
        <v>364.29234410726798</v>
      </c>
      <c r="I22" s="1353">
        <f t="shared" si="5"/>
        <v>298.91575574859797</v>
      </c>
      <c r="J22" s="1353">
        <f t="shared" si="5"/>
        <v>14034.702501909313</v>
      </c>
      <c r="K22" s="1353">
        <f t="shared" si="5"/>
        <v>224.5702129024796</v>
      </c>
      <c r="L22" s="1353">
        <f t="shared" si="5"/>
        <v>11.25634304230806</v>
      </c>
      <c r="M22" s="1353">
        <f t="shared" si="5"/>
        <v>17.250583630049338</v>
      </c>
      <c r="N22" s="1353">
        <f t="shared" si="5"/>
        <v>33.327348917330099</v>
      </c>
      <c r="O22" s="1353">
        <f t="shared" si="5"/>
        <v>35.021404756999999</v>
      </c>
      <c r="P22" s="1353">
        <f t="shared" si="5"/>
        <v>16803.296322840462</v>
      </c>
      <c r="Q22" s="1357"/>
      <c r="R22" s="1356"/>
      <c r="V22" s="1351"/>
      <c r="X22" s="577"/>
      <c r="CH22" s="564"/>
    </row>
    <row r="23" spans="2:86" ht="29.25" customHeight="1" x14ac:dyDescent="0.25">
      <c r="B23" s="579" t="s">
        <v>2553</v>
      </c>
      <c r="C23" s="1356"/>
      <c r="D23" s="1356"/>
      <c r="E23" s="1356"/>
      <c r="F23" s="1356"/>
      <c r="G23" s="1356"/>
      <c r="H23" s="1356"/>
      <c r="I23" s="1356"/>
      <c r="J23" s="1356"/>
      <c r="K23" s="1356"/>
      <c r="L23" s="1356"/>
      <c r="M23" s="1356"/>
      <c r="N23" s="1356"/>
      <c r="O23" s="1356"/>
      <c r="P23" s="1360"/>
      <c r="Q23" s="1357"/>
      <c r="R23" s="1356"/>
      <c r="V23" s="1351"/>
      <c r="CH23" s="564"/>
    </row>
    <row r="24" spans="2:86" ht="31.5" hidden="1" customHeight="1" x14ac:dyDescent="0.25">
      <c r="B24" s="581" t="s">
        <v>2554</v>
      </c>
      <c r="C24" s="1353"/>
      <c r="D24" s="1353"/>
      <c r="E24" s="1353"/>
      <c r="F24" s="1353"/>
      <c r="G24" s="1353"/>
      <c r="H24" s="1353"/>
      <c r="I24" s="1353"/>
      <c r="J24" s="1353"/>
      <c r="K24" s="1353"/>
      <c r="L24" s="1353"/>
      <c r="M24" s="1353"/>
      <c r="N24" s="1353"/>
      <c r="O24" s="1353"/>
      <c r="P24" s="1353"/>
      <c r="Q24" s="1353"/>
      <c r="R24" s="1353"/>
      <c r="V24" s="1351" t="s">
        <v>2530</v>
      </c>
      <c r="CH24" s="564"/>
    </row>
    <row r="25" spans="2:86" ht="29.25" hidden="1" customHeight="1" x14ac:dyDescent="0.25">
      <c r="B25" s="581" t="s">
        <v>2555</v>
      </c>
      <c r="C25" s="1353"/>
      <c r="D25" s="1353"/>
      <c r="E25" s="1353"/>
      <c r="F25" s="1353"/>
      <c r="G25" s="1353"/>
      <c r="H25" s="1353"/>
      <c r="I25" s="1353"/>
      <c r="J25" s="1353"/>
      <c r="K25" s="1353"/>
      <c r="L25" s="1353"/>
      <c r="M25" s="1353"/>
      <c r="N25" s="1353"/>
      <c r="O25" s="1353"/>
      <c r="P25" s="1353"/>
      <c r="Q25" s="1353"/>
      <c r="R25" s="1353"/>
      <c r="S25" s="577"/>
      <c r="T25" s="564"/>
      <c r="U25" s="576"/>
      <c r="V25" s="1351" t="s">
        <v>2522</v>
      </c>
      <c r="CH25" s="564"/>
    </row>
    <row r="26" spans="2:86" ht="20.100000000000001" customHeight="1" x14ac:dyDescent="0.25">
      <c r="B26" s="526" t="str">
        <f>'[15]Statement of changes in equity'!$A$5</f>
        <v>As on 31.03.2021</v>
      </c>
      <c r="C26" s="1353">
        <f t="shared" ref="C26:O26" si="6">C7-C16-C25</f>
        <v>1656.562519389</v>
      </c>
      <c r="D26" s="1353">
        <f t="shared" si="6"/>
        <v>79.850782300000006</v>
      </c>
      <c r="E26" s="1353">
        <f t="shared" si="6"/>
        <v>756.46630295</v>
      </c>
      <c r="F26" s="1353">
        <f t="shared" si="6"/>
        <v>769.38977634299897</v>
      </c>
      <c r="G26" s="1353">
        <f t="shared" si="6"/>
        <v>1743.2718115290004</v>
      </c>
      <c r="H26" s="1353">
        <f t="shared" si="6"/>
        <v>1245.7036069850001</v>
      </c>
      <c r="I26" s="1353">
        <f t="shared" si="6"/>
        <v>561.10581536200027</v>
      </c>
      <c r="J26" s="1353">
        <f t="shared" si="6"/>
        <v>26988.537658057987</v>
      </c>
      <c r="K26" s="1353">
        <f t="shared" si="6"/>
        <v>331.16254667400005</v>
      </c>
      <c r="L26" s="1353">
        <f t="shared" si="6"/>
        <v>23.028518570000006</v>
      </c>
      <c r="M26" s="1353">
        <f t="shared" si="6"/>
        <v>22.411939817999993</v>
      </c>
      <c r="N26" s="1353">
        <f t="shared" si="6"/>
        <v>33.785975400999959</v>
      </c>
      <c r="O26" s="1353">
        <f t="shared" si="6"/>
        <v>31.087978140000008</v>
      </c>
      <c r="P26" s="1353">
        <f>SUM(C26:O26)</f>
        <v>34242.365231518983</v>
      </c>
      <c r="Q26" s="1353"/>
      <c r="R26" s="1353"/>
      <c r="S26" s="576">
        <f>P26-'[15]balance sheet P&amp;L'!F6</f>
        <v>0</v>
      </c>
      <c r="T26" s="582"/>
      <c r="CH26" s="564"/>
    </row>
    <row r="27" spans="2:86" ht="20.100000000000001" customHeight="1" thickBot="1" x14ac:dyDescent="0.3">
      <c r="B27" s="526" t="str">
        <f>'[15]Statement of changes in equity'!$A$9</f>
        <v>As at 31.03.2022</v>
      </c>
      <c r="C27" s="1353">
        <f>C10-C19</f>
        <v>1666.1285420890001</v>
      </c>
      <c r="D27" s="1353">
        <f t="shared" ref="D27:P27" si="7">D10-D19</f>
        <v>74.934302650000006</v>
      </c>
      <c r="E27" s="1353">
        <f t="shared" si="7"/>
        <v>721.28774965399998</v>
      </c>
      <c r="F27" s="1353">
        <f t="shared" si="7"/>
        <v>740.50821342599897</v>
      </c>
      <c r="G27" s="1353">
        <f t="shared" si="7"/>
        <v>1718.4305243170004</v>
      </c>
      <c r="H27" s="1353">
        <f t="shared" si="7"/>
        <v>858.68701303700016</v>
      </c>
      <c r="I27" s="1353">
        <f t="shared" si="7"/>
        <v>931.67599367800017</v>
      </c>
      <c r="J27" s="1353">
        <f t="shared" si="7"/>
        <v>25602.007237094986</v>
      </c>
      <c r="K27" s="1353">
        <f t="shared" si="7"/>
        <v>350.06282414200007</v>
      </c>
      <c r="L27" s="1353">
        <f t="shared" si="7"/>
        <v>29.90274753100001</v>
      </c>
      <c r="M27" s="1353">
        <f t="shared" si="7"/>
        <v>21.171335921999997</v>
      </c>
      <c r="N27" s="1353">
        <f t="shared" si="7"/>
        <v>33.707212874999961</v>
      </c>
      <c r="O27" s="1353">
        <f t="shared" si="7"/>
        <v>26.220072040000009</v>
      </c>
      <c r="P27" s="1353">
        <f t="shared" si="7"/>
        <v>32774.72376845598</v>
      </c>
      <c r="Q27" s="1361"/>
      <c r="R27" s="1353"/>
      <c r="S27" s="1362">
        <f>P27-'[15]balance sheet P&amp;L'!E6</f>
        <v>-6.0000456869602203E-7</v>
      </c>
      <c r="T27" s="1363"/>
      <c r="CH27" s="564"/>
    </row>
    <row r="28" spans="2:86" ht="15" customHeight="1" x14ac:dyDescent="0.25">
      <c r="B28" s="526" t="str">
        <f>'[15]Statement of changes in equity'!$A$11</f>
        <v>As at 31.03.2023</v>
      </c>
      <c r="C28" s="1353">
        <f t="shared" ref="C28:P28" si="8">+C13-C22</f>
        <v>1678.7517123700002</v>
      </c>
      <c r="D28" s="1353">
        <f t="shared" si="8"/>
        <v>70.679945550000014</v>
      </c>
      <c r="E28" s="1353">
        <f t="shared" si="8"/>
        <v>684.3525634450001</v>
      </c>
      <c r="F28" s="1353">
        <f t="shared" si="8"/>
        <v>726.94929231599917</v>
      </c>
      <c r="G28" s="1353">
        <f t="shared" si="8"/>
        <v>1595.5738799730007</v>
      </c>
      <c r="H28" s="1353">
        <f t="shared" si="8"/>
        <v>861.12106555100013</v>
      </c>
      <c r="I28" s="1353">
        <f t="shared" si="8"/>
        <v>925.90191156000014</v>
      </c>
      <c r="J28" s="1353">
        <f t="shared" si="8"/>
        <v>24044.923521401986</v>
      </c>
      <c r="K28" s="1353">
        <f t="shared" si="8"/>
        <v>323.18555264200006</v>
      </c>
      <c r="L28" s="1353">
        <f t="shared" si="8"/>
        <v>46.11079082700001</v>
      </c>
      <c r="M28" s="1353">
        <f t="shared" si="8"/>
        <v>19.580548022999995</v>
      </c>
      <c r="N28" s="1353">
        <f t="shared" si="8"/>
        <v>40.916037573999958</v>
      </c>
      <c r="O28" s="1353">
        <f t="shared" si="8"/>
        <v>22.466208840000007</v>
      </c>
      <c r="P28" s="1353">
        <f t="shared" si="8"/>
        <v>31040.513030072987</v>
      </c>
      <c r="Q28" s="1361"/>
      <c r="R28" s="1353"/>
      <c r="S28" s="1362">
        <f>P28-'[15]balance sheet P&amp;L'!D6</f>
        <v>-7.0000533014535904E-7</v>
      </c>
      <c r="CH28" s="564"/>
    </row>
    <row r="29" spans="2:86" s="583" customFormat="1" ht="15" customHeight="1" x14ac:dyDescent="0.25">
      <c r="B29" s="1364"/>
      <c r="C29" s="1365">
        <f>'[15]Balance sheet groupings'!C9</f>
        <v>1678.7517123700002</v>
      </c>
      <c r="D29" s="1365">
        <f>'[15]Balance sheet groupings'!$C$10-'[15]Balance sheet groupings'!$C$28</f>
        <v>70.679945549999985</v>
      </c>
      <c r="E29" s="1365">
        <f>'[15]Balance sheet groupings'!$C$11-'[15]Balance sheet groupings'!$C$29</f>
        <v>684.35256344500021</v>
      </c>
      <c r="F29" s="1365">
        <f>'[15]Balance sheet groupings'!$C$12-'[15]Balance sheet groupings'!$C$30</f>
        <v>726.94929231599997</v>
      </c>
      <c r="G29" s="1365">
        <f>'[15]Balance sheet groupings'!$C$13-'[15]Balance sheet groupings'!$C$31</f>
        <v>1595.5738799729997</v>
      </c>
      <c r="H29" s="1365">
        <f>'[15]Balance sheet groupings'!$C$14-'[15]Balance sheet groupings'!$C$32</f>
        <v>861.12106555099979</v>
      </c>
      <c r="I29" s="1365">
        <f>'[15]Balance sheet groupings'!$C$15-'[15]Balance sheet groupings'!$C$33</f>
        <v>925.90191155999992</v>
      </c>
      <c r="J29" s="1365">
        <f>'[15]Balance sheet groupings'!$C$16-'[15]Balance sheet groupings'!$C$34</f>
        <v>24044.923521401997</v>
      </c>
      <c r="K29" s="1365">
        <f>'[15]Balance sheet groupings'!$C$19-'[15]Balance sheet groupings'!$C$36</f>
        <v>323.18555264199995</v>
      </c>
      <c r="L29" s="1365">
        <f>'[15]Balance sheet groupings'!$C$20-'[15]Balance sheet groupings'!$C$37</f>
        <v>46.110790827000002</v>
      </c>
      <c r="M29" s="1365">
        <f>'[15]Balance sheet groupings'!$C$21-'[15]Balance sheet groupings'!$C$38</f>
        <v>19.580548022999999</v>
      </c>
      <c r="N29" s="1365">
        <f>'[15]Balance sheet groupings'!$C$22-'[15]Balance sheet groupings'!$C$39</f>
        <v>40.916037574000001</v>
      </c>
      <c r="O29" s="1365">
        <f>'[15]Balance sheet groupings'!$C$23-'[15]Balance sheet groupings'!$C$40</f>
        <v>22.466208839999993</v>
      </c>
      <c r="P29" s="1365">
        <f>'[15]Balance sheet groupings'!$C$26-'[15]Balance sheet groupings'!$C$42</f>
        <v>31040.513030772992</v>
      </c>
      <c r="Q29" s="1366"/>
      <c r="R29" s="1367"/>
      <c r="T29" s="584"/>
      <c r="U29" s="584"/>
      <c r="V29" s="584"/>
      <c r="W29" s="584"/>
      <c r="X29" s="584"/>
      <c r="AA29" s="585"/>
      <c r="AB29" s="585"/>
      <c r="AC29" s="585"/>
      <c r="AD29" s="585"/>
      <c r="AE29" s="585"/>
      <c r="AF29" s="585"/>
      <c r="AG29" s="585"/>
      <c r="AH29" s="585"/>
      <c r="AI29" s="585"/>
      <c r="AJ29" s="585"/>
      <c r="AK29" s="585"/>
      <c r="AL29" s="585"/>
      <c r="AM29" s="585"/>
      <c r="AN29" s="585"/>
      <c r="AO29" s="585"/>
      <c r="AP29" s="585"/>
      <c r="AQ29" s="585"/>
      <c r="AR29" s="585"/>
      <c r="AS29" s="585"/>
      <c r="AT29" s="585"/>
      <c r="AU29" s="585"/>
      <c r="AV29" s="585"/>
      <c r="AW29" s="585"/>
      <c r="AX29" s="585"/>
      <c r="AY29" s="585"/>
      <c r="AZ29" s="585"/>
      <c r="BA29" s="585"/>
      <c r="BB29" s="585"/>
      <c r="BC29" s="585"/>
      <c r="BD29" s="585"/>
      <c r="BE29" s="585"/>
      <c r="BF29" s="585"/>
      <c r="BG29" s="585"/>
      <c r="BH29" s="585"/>
      <c r="BI29" s="585"/>
      <c r="BJ29" s="585"/>
      <c r="BK29" s="585"/>
      <c r="BL29" s="585"/>
      <c r="BM29" s="585"/>
      <c r="BN29" s="585"/>
      <c r="BO29" s="585"/>
      <c r="BP29" s="585"/>
      <c r="BQ29" s="585"/>
      <c r="BR29" s="585"/>
      <c r="BS29" s="585"/>
      <c r="BT29" s="585"/>
      <c r="BU29" s="585"/>
      <c r="BV29" s="585"/>
      <c r="BW29" s="585"/>
      <c r="BX29" s="585"/>
      <c r="BY29" s="585"/>
      <c r="BZ29" s="585"/>
      <c r="CA29" s="585"/>
      <c r="CB29" s="585"/>
      <c r="CC29" s="585"/>
      <c r="CD29" s="585"/>
      <c r="CE29" s="585"/>
      <c r="CF29" s="585"/>
      <c r="CG29" s="585"/>
      <c r="CH29" s="586"/>
    </row>
    <row r="30" spans="2:86" s="583" customFormat="1" x14ac:dyDescent="0.25">
      <c r="B30" s="1368"/>
      <c r="C30" s="1369">
        <f>C28-C29</f>
        <v>0</v>
      </c>
      <c r="D30" s="1369">
        <f t="shared" ref="D30:P30" si="9">D28-D29</f>
        <v>0</v>
      </c>
      <c r="E30" s="1369">
        <f t="shared" si="9"/>
        <v>0</v>
      </c>
      <c r="F30" s="1369">
        <f t="shared" si="9"/>
        <v>0</v>
      </c>
      <c r="G30" s="1369">
        <f t="shared" si="9"/>
        <v>0</v>
      </c>
      <c r="H30" s="1369">
        <f t="shared" si="9"/>
        <v>0</v>
      </c>
      <c r="I30" s="1369">
        <f t="shared" si="9"/>
        <v>0</v>
      </c>
      <c r="J30" s="1369">
        <f t="shared" si="9"/>
        <v>0</v>
      </c>
      <c r="K30" s="1369">
        <f t="shared" si="9"/>
        <v>0</v>
      </c>
      <c r="L30" s="1369">
        <f t="shared" si="9"/>
        <v>0</v>
      </c>
      <c r="M30" s="1369">
        <f t="shared" si="9"/>
        <v>0</v>
      </c>
      <c r="N30" s="1369">
        <f t="shared" si="9"/>
        <v>0</v>
      </c>
      <c r="O30" s="1369">
        <f t="shared" si="9"/>
        <v>0</v>
      </c>
      <c r="P30" s="1369">
        <f t="shared" si="9"/>
        <v>-7.0000533014535904E-7</v>
      </c>
      <c r="R30" s="1370"/>
      <c r="AA30" s="585"/>
      <c r="AB30" s="585"/>
      <c r="AC30" s="585"/>
      <c r="AD30" s="585"/>
      <c r="AE30" s="585"/>
      <c r="AF30" s="585"/>
      <c r="AG30" s="585"/>
      <c r="AH30" s="585"/>
      <c r="AI30" s="585"/>
      <c r="AJ30" s="585"/>
      <c r="AK30" s="585"/>
      <c r="AL30" s="585"/>
      <c r="AM30" s="585"/>
      <c r="AN30" s="585"/>
      <c r="AO30" s="585"/>
      <c r="AP30" s="585"/>
      <c r="AQ30" s="585"/>
      <c r="AR30" s="585"/>
      <c r="AS30" s="585"/>
      <c r="AT30" s="585"/>
      <c r="AU30" s="585"/>
      <c r="AV30" s="585"/>
      <c r="AW30" s="585"/>
      <c r="AX30" s="585"/>
      <c r="AY30" s="585"/>
      <c r="AZ30" s="585"/>
      <c r="BA30" s="585"/>
      <c r="BB30" s="585"/>
      <c r="BC30" s="585"/>
      <c r="BD30" s="585"/>
      <c r="BE30" s="585"/>
      <c r="BF30" s="585"/>
      <c r="BG30" s="585"/>
      <c r="BH30" s="585"/>
      <c r="BI30" s="585"/>
      <c r="BJ30" s="585"/>
      <c r="BK30" s="585"/>
      <c r="BL30" s="585"/>
      <c r="BM30" s="585"/>
      <c r="BN30" s="585"/>
      <c r="BO30" s="585"/>
      <c r="BP30" s="585"/>
      <c r="BQ30" s="585"/>
      <c r="BR30" s="585"/>
      <c r="BS30" s="585"/>
      <c r="BT30" s="585"/>
      <c r="BU30" s="585"/>
      <c r="BV30" s="585"/>
      <c r="BW30" s="585"/>
      <c r="BX30" s="585"/>
      <c r="BY30" s="585"/>
      <c r="BZ30" s="585"/>
      <c r="CA30" s="585"/>
      <c r="CB30" s="585"/>
      <c r="CC30" s="585"/>
      <c r="CD30" s="585"/>
      <c r="CE30" s="585"/>
      <c r="CF30" s="585"/>
      <c r="CG30" s="585"/>
    </row>
    <row r="31" spans="2:86" s="587" customFormat="1" x14ac:dyDescent="0.25">
      <c r="B31" s="1371"/>
      <c r="C31" s="587" t="s">
        <v>2556</v>
      </c>
      <c r="P31" s="1372"/>
      <c r="R31" s="137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S31" s="163"/>
      <c r="BT31" s="163"/>
      <c r="BU31" s="163"/>
      <c r="BV31" s="163"/>
      <c r="BW31" s="163"/>
      <c r="BX31" s="163"/>
      <c r="BY31" s="163"/>
      <c r="BZ31" s="163"/>
      <c r="CA31" s="163"/>
      <c r="CB31" s="163"/>
      <c r="CC31" s="163"/>
      <c r="CD31" s="163"/>
      <c r="CE31" s="163"/>
      <c r="CF31" s="163"/>
      <c r="CG31" s="163"/>
    </row>
    <row r="32" spans="2:86" s="587" customFormat="1" x14ac:dyDescent="0.25">
      <c r="B32" s="1371"/>
      <c r="D32" s="587" t="s">
        <v>2557</v>
      </c>
      <c r="P32" s="1374"/>
      <c r="R32" s="137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163"/>
      <c r="CA32" s="163"/>
      <c r="CB32" s="163"/>
      <c r="CC32" s="163"/>
      <c r="CD32" s="163"/>
      <c r="CE32" s="163"/>
      <c r="CF32" s="163"/>
      <c r="CG32" s="163"/>
    </row>
    <row r="33" spans="2:18" x14ac:dyDescent="0.25">
      <c r="B33" s="1375"/>
      <c r="C33" s="570"/>
      <c r="D33" s="570"/>
      <c r="E33" s="570"/>
      <c r="F33" s="570"/>
      <c r="G33" s="570"/>
      <c r="H33" s="570"/>
      <c r="I33" s="570"/>
      <c r="J33" s="570"/>
      <c r="K33" s="570"/>
      <c r="L33" s="570"/>
      <c r="M33" s="570"/>
      <c r="N33" s="570"/>
      <c r="O33" s="570"/>
      <c r="P33" s="1376"/>
      <c r="Q33" s="570"/>
      <c r="R33" s="571"/>
    </row>
    <row r="55" spans="2:86" ht="15.75" x14ac:dyDescent="0.25">
      <c r="B55" s="1377"/>
      <c r="C55" s="1378"/>
      <c r="D55" s="1378"/>
      <c r="E55" s="1379"/>
      <c r="F55" s="1378"/>
      <c r="G55" s="1378"/>
      <c r="H55" s="1378"/>
      <c r="I55" s="1378"/>
      <c r="J55" s="1378"/>
      <c r="CH55" s="564"/>
    </row>
    <row r="56" spans="2:86" ht="15.75" x14ac:dyDescent="0.25">
      <c r="B56" s="1377"/>
      <c r="C56" s="1378"/>
      <c r="D56" s="1378"/>
      <c r="E56" s="1379"/>
      <c r="F56" s="1378"/>
      <c r="G56" s="1378"/>
      <c r="H56" s="1378"/>
      <c r="I56" s="1378"/>
      <c r="J56" s="1378"/>
    </row>
    <row r="57" spans="2:86" ht="15.75" x14ac:dyDescent="0.25">
      <c r="B57" s="1377"/>
      <c r="C57" s="1378"/>
      <c r="D57" s="1378"/>
      <c r="E57" s="1379"/>
      <c r="F57" s="1378"/>
      <c r="G57" s="1378"/>
      <c r="H57" s="1378"/>
      <c r="I57" s="1378"/>
      <c r="J57" s="1378"/>
    </row>
    <row r="58" spans="2:86" ht="15.75" x14ac:dyDescent="0.25">
      <c r="B58" s="1377"/>
      <c r="C58" s="1378"/>
      <c r="D58" s="1378"/>
      <c r="E58" s="1379"/>
      <c r="F58" s="1378"/>
      <c r="G58" s="1378"/>
      <c r="H58" s="1378"/>
      <c r="I58" s="1378"/>
      <c r="J58" s="1378"/>
    </row>
    <row r="59" spans="2:86" ht="15.75" x14ac:dyDescent="0.25">
      <c r="B59" s="1377"/>
      <c r="C59" s="1378"/>
      <c r="D59" s="1378"/>
      <c r="E59" s="1379"/>
      <c r="F59" s="1378"/>
      <c r="G59" s="1378"/>
      <c r="H59" s="1378"/>
      <c r="I59" s="1378"/>
      <c r="J59" s="1378"/>
    </row>
    <row r="60" spans="2:86" ht="15.75" x14ac:dyDescent="0.25">
      <c r="B60" s="1377"/>
      <c r="C60" s="1378"/>
      <c r="D60" s="1378"/>
      <c r="E60" s="1379"/>
      <c r="F60" s="1380"/>
      <c r="G60" s="1378"/>
      <c r="H60" s="1380"/>
      <c r="I60" s="1380"/>
      <c r="J60" s="1380"/>
    </row>
    <row r="61" spans="2:86" ht="15.75" x14ac:dyDescent="0.25">
      <c r="B61" s="1381"/>
      <c r="C61" s="1378"/>
      <c r="D61" s="1378"/>
      <c r="E61" s="1379"/>
      <c r="F61" s="1380"/>
      <c r="G61" s="1378"/>
      <c r="H61" s="1380"/>
      <c r="I61" s="1380"/>
      <c r="J61" s="1380"/>
    </row>
    <row r="62" spans="2:86" ht="15.75" x14ac:dyDescent="0.25">
      <c r="B62" s="1377"/>
      <c r="C62" s="1378"/>
      <c r="D62" s="1378"/>
      <c r="E62" s="1379"/>
      <c r="F62" s="1380"/>
      <c r="G62" s="1378"/>
      <c r="H62" s="1380"/>
      <c r="I62" s="1380"/>
      <c r="J62" s="1380"/>
    </row>
    <row r="63" spans="2:86" ht="15.75" x14ac:dyDescent="0.25">
      <c r="B63" s="1377"/>
      <c r="C63" s="1378"/>
      <c r="D63" s="1378"/>
      <c r="E63" s="1379"/>
      <c r="F63" s="1378"/>
      <c r="G63" s="1378"/>
      <c r="H63" s="1380"/>
      <c r="I63" s="1380"/>
      <c r="J63" s="1380"/>
    </row>
    <row r="64" spans="2:86" ht="15.75" x14ac:dyDescent="0.25">
      <c r="B64" s="1377"/>
      <c r="C64" s="1378"/>
      <c r="D64" s="1378"/>
      <c r="E64" s="1379"/>
      <c r="F64" s="1378"/>
      <c r="G64" s="1378"/>
      <c r="H64" s="1380"/>
      <c r="I64" s="1380"/>
      <c r="J64" s="1380"/>
    </row>
    <row r="65" spans="2:13" ht="15.75" x14ac:dyDescent="0.25">
      <c r="B65" s="1377"/>
      <c r="C65" s="1378"/>
      <c r="D65" s="1378"/>
      <c r="E65" s="1379"/>
      <c r="F65" s="1378"/>
      <c r="G65" s="1378"/>
      <c r="H65" s="1380"/>
      <c r="I65" s="1380"/>
      <c r="J65" s="1380"/>
    </row>
    <row r="66" spans="2:13" ht="15.75" x14ac:dyDescent="0.25">
      <c r="B66" s="1377"/>
      <c r="C66" s="1378"/>
      <c r="D66" s="1378"/>
      <c r="E66" s="1379"/>
      <c r="F66" s="1378"/>
      <c r="G66" s="1378"/>
      <c r="H66" s="1380"/>
      <c r="I66" s="1380"/>
      <c r="J66" s="1380"/>
    </row>
    <row r="67" spans="2:13" ht="15.75" x14ac:dyDescent="0.25">
      <c r="B67" s="1377"/>
      <c r="C67" s="1378"/>
      <c r="D67" s="1378"/>
      <c r="E67" s="1379"/>
      <c r="F67" s="1378"/>
      <c r="G67" s="1378"/>
      <c r="H67" s="1380"/>
      <c r="I67" s="1380"/>
      <c r="J67" s="1380"/>
    </row>
    <row r="68" spans="2:13" ht="15.75" x14ac:dyDescent="0.25">
      <c r="B68" s="1377"/>
      <c r="C68" s="1378"/>
      <c r="D68" s="1378"/>
      <c r="E68" s="1379"/>
      <c r="F68" s="1378"/>
      <c r="G68" s="1378"/>
      <c r="H68" s="1380"/>
      <c r="I68" s="1380"/>
      <c r="J68" s="1380"/>
    </row>
    <row r="69" spans="2:13" ht="15.75" x14ac:dyDescent="0.25">
      <c r="B69" s="1377"/>
      <c r="C69" s="1378"/>
      <c r="D69" s="1378"/>
      <c r="E69" s="1379"/>
      <c r="F69" s="1378"/>
      <c r="G69" s="1378"/>
      <c r="H69" s="1380"/>
      <c r="I69" s="1380"/>
      <c r="J69" s="1380"/>
    </row>
    <row r="70" spans="2:13" ht="15.75" x14ac:dyDescent="0.25">
      <c r="B70" s="1377"/>
      <c r="C70" s="1378"/>
      <c r="D70" s="1378"/>
      <c r="E70" s="1379"/>
      <c r="F70" s="1378"/>
      <c r="G70" s="1378"/>
      <c r="H70" s="1380"/>
      <c r="I70" s="1380"/>
      <c r="J70" s="1380"/>
    </row>
    <row r="71" spans="2:13" ht="15.75" x14ac:dyDescent="0.25">
      <c r="B71" s="1377"/>
      <c r="C71" s="1378"/>
      <c r="D71" s="1378"/>
      <c r="E71" s="1379"/>
      <c r="F71" s="1378"/>
      <c r="G71" s="1378"/>
      <c r="H71" s="1380"/>
      <c r="I71" s="1380"/>
      <c r="J71" s="1380"/>
    </row>
    <row r="72" spans="2:13" ht="15.75" x14ac:dyDescent="0.25">
      <c r="B72" s="1377"/>
      <c r="C72" s="1378"/>
      <c r="D72" s="1378"/>
      <c r="E72" s="1379"/>
      <c r="F72" s="1378"/>
      <c r="G72" s="1378"/>
      <c r="H72" s="1380"/>
      <c r="I72" s="1380"/>
      <c r="J72" s="1380"/>
    </row>
    <row r="73" spans="2:13" ht="15.75" x14ac:dyDescent="0.25">
      <c r="B73" s="1377"/>
      <c r="C73" s="1378"/>
      <c r="D73" s="1378"/>
      <c r="E73" s="1379"/>
      <c r="F73" s="1380"/>
      <c r="G73" s="1378"/>
      <c r="H73" s="1380"/>
      <c r="I73" s="1380"/>
      <c r="J73" s="1380"/>
    </row>
    <row r="74" spans="2:13" ht="15.75" x14ac:dyDescent="0.25">
      <c r="B74" s="1382"/>
      <c r="C74" s="1378"/>
      <c r="D74" s="1378"/>
      <c r="E74" s="1379"/>
      <c r="F74" s="1380"/>
      <c r="G74" s="1380"/>
      <c r="H74" s="1380"/>
      <c r="I74" s="1380"/>
      <c r="J74" s="1380"/>
    </row>
    <row r="75" spans="2:13" ht="15.75" x14ac:dyDescent="0.25">
      <c r="B75" s="1383"/>
      <c r="C75" s="1378"/>
      <c r="D75" s="1378"/>
      <c r="E75" s="1379"/>
      <c r="F75" s="1378"/>
      <c r="G75" s="1378"/>
      <c r="H75" s="1380"/>
      <c r="I75" s="1380"/>
      <c r="J75" s="1380"/>
    </row>
    <row r="76" spans="2:13" ht="15.75" x14ac:dyDescent="0.25">
      <c r="B76" s="1383"/>
      <c r="C76" s="1378"/>
      <c r="D76" s="1378"/>
      <c r="E76" s="1379"/>
      <c r="F76" s="1378"/>
      <c r="G76" s="1378"/>
      <c r="H76" s="1380"/>
      <c r="I76" s="1380"/>
      <c r="J76" s="1384"/>
      <c r="K76" s="1378"/>
    </row>
    <row r="77" spans="2:13" ht="15.75" x14ac:dyDescent="0.25">
      <c r="B77" s="1382"/>
      <c r="C77" s="1378"/>
      <c r="D77" s="1378"/>
      <c r="E77" s="1379"/>
      <c r="F77" s="1378"/>
      <c r="G77" s="1378"/>
      <c r="H77" s="1380"/>
      <c r="I77" s="1380"/>
      <c r="J77" s="1380"/>
    </row>
    <row r="79" spans="2:13" x14ac:dyDescent="0.25">
      <c r="M79" s="1385"/>
    </row>
    <row r="80" spans="2:13" x14ac:dyDescent="0.25">
      <c r="M80" s="564"/>
    </row>
    <row r="81" spans="6:13" x14ac:dyDescent="0.25">
      <c r="F81" s="582"/>
    </row>
    <row r="82" spans="6:13" x14ac:dyDescent="0.25">
      <c r="F82" s="582"/>
      <c r="L82" s="1386"/>
      <c r="M82" s="588"/>
    </row>
    <row r="83" spans="6:13" x14ac:dyDescent="0.25">
      <c r="L83" s="588"/>
      <c r="M83" s="1291"/>
    </row>
    <row r="84" spans="6:13" x14ac:dyDescent="0.25">
      <c r="L84" s="588"/>
      <c r="M84" s="1291"/>
    </row>
    <row r="85" spans="6:13" x14ac:dyDescent="0.25">
      <c r="L85" s="588"/>
      <c r="M85" s="1291"/>
    </row>
    <row r="86" spans="6:13" x14ac:dyDescent="0.25">
      <c r="L86" s="588"/>
      <c r="M86" s="1291"/>
    </row>
    <row r="87" spans="6:13" x14ac:dyDescent="0.25">
      <c r="L87" s="588"/>
      <c r="M87" s="589"/>
    </row>
  </sheetData>
  <mergeCells count="16">
    <mergeCell ref="R5:R6"/>
    <mergeCell ref="C3:E3"/>
    <mergeCell ref="B4:B6"/>
    <mergeCell ref="Q4:R4"/>
    <mergeCell ref="C5:D5"/>
    <mergeCell ref="E5:F5"/>
    <mergeCell ref="G5:G6"/>
    <mergeCell ref="H5:I5"/>
    <mergeCell ref="J5:J6"/>
    <mergeCell ref="K5:K6"/>
    <mergeCell ref="L5:L6"/>
    <mergeCell ref="M5:M6"/>
    <mergeCell ref="N5:N6"/>
    <mergeCell ref="O5:O6"/>
    <mergeCell ref="P5:P6"/>
    <mergeCell ref="Q5:Q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85"/>
  <sheetViews>
    <sheetView workbookViewId="0">
      <selection activeCell="D14" sqref="D14"/>
    </sheetView>
  </sheetViews>
  <sheetFormatPr defaultRowHeight="12.75" x14ac:dyDescent="0.2"/>
  <cols>
    <col min="1" max="1" width="2.5703125" customWidth="1"/>
    <col min="2" max="2" width="44.28515625" customWidth="1"/>
    <col min="3" max="3" width="22.5703125" customWidth="1"/>
    <col min="4" max="4" width="21.140625" customWidth="1"/>
    <col min="5" max="5" width="19.7109375" customWidth="1"/>
    <col min="11" max="11" width="6.140625" customWidth="1"/>
    <col min="12" max="12" width="15.42578125" bestFit="1" customWidth="1"/>
    <col min="13" max="13" width="16.42578125" customWidth="1"/>
    <col min="14" max="14" width="9.5703125" bestFit="1" customWidth="1"/>
    <col min="15" max="15" width="11.5703125" bestFit="1" customWidth="1"/>
    <col min="16" max="16" width="19.140625" bestFit="1" customWidth="1"/>
  </cols>
  <sheetData>
    <row r="1" spans="2:85" ht="15.75" x14ac:dyDescent="0.2">
      <c r="B1" s="590" t="s">
        <v>2487</v>
      </c>
      <c r="C1" s="591"/>
      <c r="D1" s="591"/>
      <c r="E1" s="498"/>
    </row>
    <row r="2" spans="2:85" s="561" customFormat="1" ht="15.75" x14ac:dyDescent="0.25">
      <c r="B2" s="592" t="s">
        <v>2558</v>
      </c>
      <c r="C2" s="557"/>
      <c r="D2" s="593"/>
      <c r="E2" s="1387" t="s">
        <v>832</v>
      </c>
      <c r="F2" s="564"/>
      <c r="G2" s="564"/>
      <c r="H2" s="564"/>
      <c r="I2" s="564"/>
      <c r="J2" s="564"/>
      <c r="O2" s="564"/>
      <c r="P2" s="594"/>
      <c r="Q2" s="594"/>
      <c r="R2" s="595"/>
      <c r="S2" s="582"/>
      <c r="T2" s="582"/>
      <c r="U2" s="582"/>
      <c r="W2" s="582"/>
      <c r="BQ2" s="564"/>
      <c r="BR2" s="564"/>
      <c r="BS2" s="564"/>
      <c r="BT2" s="564"/>
      <c r="BU2" s="564"/>
      <c r="BV2" s="564"/>
      <c r="BW2" s="564"/>
      <c r="BX2" s="564"/>
      <c r="BY2" s="564"/>
      <c r="BZ2" s="564"/>
      <c r="CA2" s="564" t="e">
        <f>#REF!-'[15]Consolidated FA'!CM6</f>
        <v>#REF!</v>
      </c>
      <c r="CB2" s="564" t="e">
        <f>#REF!-'[15]Consolidated FA'!CM4</f>
        <v>#REF!</v>
      </c>
      <c r="CC2" s="564" t="e">
        <f>#REF!-'[15]Consolidated FA'!CM2</f>
        <v>#REF!</v>
      </c>
      <c r="CD2" s="564" t="e">
        <f>+'[15]Consolidated FA'!CM8-#REF!</f>
        <v>#REF!</v>
      </c>
      <c r="CE2" s="564"/>
      <c r="CF2" s="564"/>
      <c r="CG2" s="564"/>
    </row>
    <row r="3" spans="2:85" s="561" customFormat="1" ht="15.75" customHeight="1" x14ac:dyDescent="0.25">
      <c r="B3" s="1388" t="s">
        <v>2527</v>
      </c>
      <c r="C3" s="1389" t="s">
        <v>2559</v>
      </c>
      <c r="D3" s="1389" t="s">
        <v>2560</v>
      </c>
      <c r="E3" s="1388" t="s">
        <v>2108</v>
      </c>
      <c r="G3" s="1390"/>
      <c r="H3" s="1390"/>
      <c r="I3" s="564"/>
      <c r="N3" s="1390"/>
      <c r="O3" s="594"/>
      <c r="P3" s="594"/>
      <c r="Q3" s="595"/>
      <c r="R3" s="582"/>
      <c r="S3" s="582"/>
      <c r="T3" s="582"/>
      <c r="U3" s="582"/>
      <c r="V3" s="582"/>
      <c r="W3" s="582"/>
      <c r="X3" s="582"/>
      <c r="BP3" s="564"/>
      <c r="BQ3" s="564"/>
      <c r="BR3" s="564"/>
      <c r="BS3" s="564"/>
      <c r="BT3" s="564"/>
      <c r="BU3" s="564"/>
      <c r="BV3" s="564"/>
      <c r="BW3" s="564"/>
      <c r="BX3" s="564"/>
      <c r="BY3" s="564"/>
      <c r="BZ3" s="564"/>
      <c r="CA3" s="564"/>
      <c r="CB3" s="564"/>
      <c r="CC3" s="564"/>
      <c r="CD3" s="564"/>
      <c r="CE3" s="564"/>
      <c r="CF3" s="564"/>
    </row>
    <row r="4" spans="2:85" s="561" customFormat="1" ht="15.75" x14ac:dyDescent="0.25">
      <c r="B4" s="596" t="s">
        <v>2561</v>
      </c>
      <c r="C4" s="1391"/>
      <c r="D4" s="1391"/>
      <c r="E4" s="1392"/>
      <c r="G4" s="1390"/>
      <c r="H4" s="1390"/>
      <c r="I4" s="564"/>
      <c r="N4" s="1390"/>
      <c r="O4" s="594"/>
      <c r="P4" s="594"/>
      <c r="R4" s="582"/>
      <c r="T4" s="582"/>
      <c r="V4" s="582"/>
      <c r="BP4" s="564"/>
      <c r="BQ4" s="564"/>
      <c r="BR4" s="564"/>
      <c r="BS4" s="564"/>
      <c r="BT4" s="564"/>
      <c r="BU4" s="564"/>
      <c r="BV4" s="564"/>
      <c r="BW4" s="564"/>
      <c r="BX4" s="564"/>
      <c r="BY4" s="564"/>
      <c r="BZ4" s="564"/>
      <c r="CA4" s="564"/>
      <c r="CB4" s="564"/>
      <c r="CC4" s="564"/>
      <c r="CD4" s="564"/>
      <c r="CE4" s="564"/>
      <c r="CF4" s="564"/>
    </row>
    <row r="5" spans="2:85" s="561" customFormat="1" ht="15.75" x14ac:dyDescent="0.25">
      <c r="B5" s="597" t="str">
        <f>'[15]Statement of changes in equity'!$A$5</f>
        <v>As on 31.03.2021</v>
      </c>
      <c r="C5" s="1393">
        <v>113.681028</v>
      </c>
      <c r="D5" s="1393">
        <f>+E5-C5</f>
        <v>4326.5148134999999</v>
      </c>
      <c r="E5" s="1394">
        <f>'[15]FA working'!R9/10^7</f>
        <v>4440.1958414999999</v>
      </c>
      <c r="G5" s="1390"/>
      <c r="H5" s="1390"/>
      <c r="I5" s="564"/>
      <c r="N5" s="1390"/>
      <c r="O5" s="594"/>
      <c r="P5" s="594"/>
      <c r="Q5" s="595"/>
      <c r="R5" s="564"/>
      <c r="U5" s="582"/>
      <c r="V5" s="582"/>
      <c r="BP5" s="564"/>
      <c r="BQ5" s="564"/>
      <c r="BR5" s="564"/>
      <c r="BS5" s="564"/>
      <c r="BT5" s="564"/>
      <c r="BU5" s="564"/>
      <c r="BV5" s="564"/>
      <c r="BW5" s="564"/>
      <c r="BX5" s="564"/>
      <c r="BY5" s="564"/>
      <c r="BZ5" s="564"/>
      <c r="CA5" s="564"/>
      <c r="CB5" s="564"/>
      <c r="CC5" s="564"/>
      <c r="CD5" s="564"/>
      <c r="CE5" s="564"/>
      <c r="CF5" s="564"/>
    </row>
    <row r="6" spans="2:85" s="561" customFormat="1" ht="15" x14ac:dyDescent="0.25">
      <c r="B6" s="596" t="s">
        <v>249</v>
      </c>
      <c r="C6" s="1393">
        <v>0</v>
      </c>
      <c r="D6" s="1393">
        <v>0</v>
      </c>
      <c r="E6" s="1394">
        <f>'[15]FA working'!R11/10^7</f>
        <v>0</v>
      </c>
      <c r="G6" s="1395"/>
      <c r="H6" s="1395"/>
      <c r="I6" s="564"/>
      <c r="N6" s="1395"/>
      <c r="O6" s="564"/>
      <c r="P6" s="564"/>
      <c r="V6" s="582"/>
      <c r="BP6" s="564"/>
      <c r="BQ6" s="564"/>
      <c r="BR6" s="564"/>
      <c r="BS6" s="564"/>
      <c r="BT6" s="564"/>
      <c r="BU6" s="564"/>
      <c r="BV6" s="564"/>
      <c r="BW6" s="564"/>
      <c r="BX6" s="564"/>
      <c r="BY6" s="564"/>
      <c r="BZ6" s="564"/>
      <c r="CA6" s="564"/>
      <c r="CB6" s="564"/>
      <c r="CC6" s="564"/>
      <c r="CD6" s="564"/>
      <c r="CE6" s="564"/>
      <c r="CF6" s="564"/>
    </row>
    <row r="7" spans="2:85" s="561" customFormat="1" ht="15" x14ac:dyDescent="0.25">
      <c r="B7" s="596" t="s">
        <v>2550</v>
      </c>
      <c r="C7" s="1391">
        <v>0.5490235</v>
      </c>
      <c r="D7" s="1393">
        <v>0</v>
      </c>
      <c r="E7" s="1392">
        <f>'[15]FA working'!R12/10^7</f>
        <v>0.5490235</v>
      </c>
      <c r="G7" s="1395"/>
      <c r="H7" s="1395"/>
      <c r="I7" s="564"/>
      <c r="N7" s="1395"/>
      <c r="O7" s="564"/>
      <c r="P7" s="564"/>
      <c r="Q7" s="595"/>
      <c r="W7" s="582"/>
      <c r="BP7" s="564"/>
      <c r="BQ7" s="564"/>
      <c r="BR7" s="564"/>
      <c r="BS7" s="564"/>
      <c r="BT7" s="564"/>
      <c r="BU7" s="564"/>
      <c r="BV7" s="564"/>
      <c r="BW7" s="564"/>
      <c r="BX7" s="564"/>
      <c r="BY7" s="564"/>
      <c r="BZ7" s="564"/>
      <c r="CA7" s="564"/>
      <c r="CB7" s="564"/>
      <c r="CC7" s="564"/>
      <c r="CD7" s="564"/>
      <c r="CE7" s="564"/>
      <c r="CF7" s="564"/>
    </row>
    <row r="8" spans="2:85" s="561" customFormat="1" ht="15" x14ac:dyDescent="0.25">
      <c r="B8" s="597" t="str">
        <f>'[15]Statement of changes in equity'!$A$9</f>
        <v>As at 31.03.2022</v>
      </c>
      <c r="C8" s="1396">
        <f>C5+C6-C7</f>
        <v>113.13200449999999</v>
      </c>
      <c r="D8" s="1396">
        <f>D5+D6-D7</f>
        <v>4326.5148134999999</v>
      </c>
      <c r="E8" s="1397">
        <f>E5+E6-E7</f>
        <v>4439.6468180000002</v>
      </c>
      <c r="G8" s="1395"/>
      <c r="H8" s="1395"/>
      <c r="I8" s="564"/>
      <c r="N8" s="1395"/>
      <c r="O8" s="564"/>
      <c r="P8" s="564"/>
      <c r="Q8" s="595"/>
      <c r="T8" s="1398"/>
      <c r="U8" s="582"/>
      <c r="V8" s="582"/>
      <c r="BP8" s="564"/>
      <c r="BQ8" s="564"/>
      <c r="BR8" s="564"/>
      <c r="BS8" s="564"/>
      <c r="BT8" s="564"/>
      <c r="BU8" s="564"/>
      <c r="BV8" s="564"/>
      <c r="BW8" s="564"/>
      <c r="BX8" s="564"/>
      <c r="BY8" s="564"/>
      <c r="BZ8" s="564"/>
      <c r="CA8" s="564"/>
      <c r="CB8" s="564"/>
      <c r="CC8" s="564"/>
      <c r="CD8" s="564"/>
      <c r="CE8" s="564"/>
      <c r="CF8" s="564"/>
    </row>
    <row r="9" spans="2:85" s="561" customFormat="1" ht="15" x14ac:dyDescent="0.25">
      <c r="B9" s="596" t="s">
        <v>249</v>
      </c>
      <c r="C9" s="1399">
        <v>0</v>
      </c>
      <c r="D9" s="1399">
        <v>0</v>
      </c>
      <c r="E9" s="1400">
        <f>'[15]FA working'!R16/10^7</f>
        <v>0</v>
      </c>
      <c r="G9" s="1395"/>
      <c r="H9" s="1395"/>
      <c r="I9" s="564"/>
      <c r="N9" s="1395"/>
      <c r="O9" s="564"/>
      <c r="P9" s="564"/>
      <c r="Q9" s="595"/>
      <c r="V9" s="580"/>
      <c r="BP9" s="564"/>
      <c r="BQ9" s="564"/>
      <c r="BR9" s="564"/>
      <c r="BS9" s="564"/>
      <c r="BT9" s="564"/>
      <c r="BU9" s="564"/>
      <c r="BV9" s="564"/>
      <c r="BW9" s="564"/>
      <c r="BX9" s="564"/>
      <c r="BY9" s="564"/>
      <c r="BZ9" s="564"/>
      <c r="CA9" s="564"/>
      <c r="CB9" s="564"/>
      <c r="CC9" s="564"/>
      <c r="CD9" s="564"/>
      <c r="CE9" s="564"/>
      <c r="CF9" s="564"/>
    </row>
    <row r="10" spans="2:85" s="561" customFormat="1" ht="15" x14ac:dyDescent="0.25">
      <c r="B10" s="596" t="s">
        <v>2550</v>
      </c>
      <c r="C10" s="1399">
        <v>0</v>
      </c>
      <c r="D10" s="1399">
        <v>0</v>
      </c>
      <c r="E10" s="1400">
        <f>'[15]FA working'!R17/10^7</f>
        <v>0</v>
      </c>
      <c r="G10" s="1395"/>
      <c r="H10" s="1395"/>
      <c r="I10" s="598"/>
      <c r="N10" s="1395"/>
      <c r="O10" s="564"/>
      <c r="P10" s="564"/>
      <c r="Q10" s="595"/>
      <c r="T10" s="582"/>
      <c r="U10" s="582"/>
      <c r="V10" s="580"/>
      <c r="BP10" s="564"/>
      <c r="BQ10" s="564"/>
      <c r="BR10" s="564"/>
      <c r="BS10" s="564"/>
      <c r="BT10" s="564"/>
      <c r="BU10" s="564"/>
      <c r="BV10" s="564"/>
      <c r="BW10" s="564"/>
      <c r="BX10" s="564"/>
      <c r="BY10" s="564"/>
      <c r="BZ10" s="564"/>
      <c r="CA10" s="564"/>
      <c r="CB10" s="564"/>
      <c r="CC10" s="564"/>
      <c r="CD10" s="564"/>
      <c r="CE10" s="564"/>
      <c r="CF10" s="564"/>
    </row>
    <row r="11" spans="2:85" s="561" customFormat="1" ht="15" x14ac:dyDescent="0.25">
      <c r="B11" s="597" t="str">
        <f>'[15]Statement of changes in equity'!$A$11</f>
        <v>As at 31.03.2023</v>
      </c>
      <c r="C11" s="1401">
        <f>C8+C9-C10</f>
        <v>113.13200449999999</v>
      </c>
      <c r="D11" s="1401">
        <f>D8+D9-D10</f>
        <v>4326.5148134999999</v>
      </c>
      <c r="E11" s="1402">
        <f>E8+E9-E10</f>
        <v>4439.6468180000002</v>
      </c>
      <c r="G11" s="1395"/>
      <c r="H11" s="1395"/>
      <c r="I11" s="564"/>
      <c r="N11" s="1395"/>
      <c r="O11" s="564"/>
      <c r="P11" s="564"/>
      <c r="V11" s="576"/>
      <c r="BP11" s="564"/>
      <c r="BQ11" s="564"/>
      <c r="BR11" s="564"/>
      <c r="BS11" s="564"/>
      <c r="BT11" s="564"/>
      <c r="BU11" s="564"/>
      <c r="BV11" s="564"/>
      <c r="BW11" s="564"/>
      <c r="BX11" s="564"/>
      <c r="BY11" s="564"/>
      <c r="BZ11" s="564"/>
      <c r="CA11" s="564"/>
      <c r="CB11" s="564"/>
      <c r="CC11" s="564"/>
      <c r="CD11" s="564"/>
      <c r="CE11" s="564"/>
      <c r="CF11" s="564"/>
    </row>
    <row r="12" spans="2:85" s="561" customFormat="1" ht="15" x14ac:dyDescent="0.25">
      <c r="B12" s="596" t="s">
        <v>2562</v>
      </c>
      <c r="C12" s="1391"/>
      <c r="D12" s="1391"/>
      <c r="E12" s="1392"/>
      <c r="G12" s="1395"/>
      <c r="H12" s="1395"/>
      <c r="I12" s="564"/>
      <c r="N12" s="1395"/>
      <c r="O12" s="564"/>
      <c r="P12" s="564"/>
      <c r="BP12" s="564"/>
      <c r="BQ12" s="564"/>
      <c r="BR12" s="564"/>
      <c r="BS12" s="564"/>
      <c r="BT12" s="564"/>
      <c r="BU12" s="564"/>
      <c r="BV12" s="564"/>
      <c r="BW12" s="564"/>
      <c r="BX12" s="564"/>
      <c r="BY12" s="564"/>
      <c r="BZ12" s="564"/>
      <c r="CA12" s="564"/>
      <c r="CB12" s="564"/>
      <c r="CC12" s="564"/>
      <c r="CD12" s="564"/>
      <c r="CE12" s="564"/>
      <c r="CF12" s="564"/>
    </row>
    <row r="13" spans="2:85" s="561" customFormat="1" ht="15" x14ac:dyDescent="0.25">
      <c r="B13" s="597" t="str">
        <f>'[15]Statement of changes in equity'!$A$5</f>
        <v>As on 31.03.2021</v>
      </c>
      <c r="C13" s="1403">
        <v>49.612113700000002</v>
      </c>
      <c r="D13" s="1393">
        <f>+E13-C13</f>
        <v>461.89757420000001</v>
      </c>
      <c r="E13" s="1404">
        <f>'[15]FA working'!R23/10^7</f>
        <v>511.50968790000002</v>
      </c>
      <c r="G13" s="1395"/>
      <c r="H13" s="1395"/>
      <c r="I13" s="564"/>
      <c r="N13" s="1395"/>
      <c r="O13" s="564"/>
      <c r="P13" s="564"/>
      <c r="V13" s="564"/>
      <c r="BP13" s="564"/>
      <c r="BQ13" s="564"/>
      <c r="BR13" s="564"/>
      <c r="BS13" s="564"/>
      <c r="BT13" s="564"/>
      <c r="BU13" s="564"/>
      <c r="BV13" s="564"/>
      <c r="BW13" s="564"/>
      <c r="BX13" s="564"/>
      <c r="BY13" s="564"/>
      <c r="BZ13" s="564"/>
      <c r="CA13" s="564"/>
      <c r="CB13" s="564"/>
      <c r="CC13" s="564"/>
      <c r="CD13" s="564"/>
      <c r="CE13" s="564"/>
      <c r="CF13" s="564"/>
    </row>
    <row r="14" spans="2:85" s="561" customFormat="1" ht="15" x14ac:dyDescent="0.25">
      <c r="B14" s="596" t="s">
        <v>249</v>
      </c>
      <c r="C14" s="1391">
        <v>24.677468699999999</v>
      </c>
      <c r="D14" s="1393">
        <f>+E14-C14</f>
        <v>230.9487872</v>
      </c>
      <c r="E14" s="1392">
        <f>('[15]FA working'!R24+'[15]FA working'!R25)/10^7</f>
        <v>255.62625589999999</v>
      </c>
      <c r="G14" s="1395"/>
      <c r="H14" s="1395"/>
      <c r="I14" s="564"/>
      <c r="N14" s="1395"/>
      <c r="O14" s="564"/>
      <c r="P14" s="564"/>
      <c r="BP14" s="564"/>
      <c r="BQ14" s="564"/>
      <c r="BR14" s="564"/>
      <c r="BS14" s="564"/>
      <c r="BT14" s="564"/>
      <c r="BU14" s="564"/>
      <c r="BV14" s="564"/>
      <c r="BW14" s="564"/>
      <c r="BX14" s="564"/>
      <c r="BY14" s="564"/>
      <c r="BZ14" s="564"/>
      <c r="CA14" s="564"/>
      <c r="CB14" s="564"/>
      <c r="CC14" s="564"/>
      <c r="CD14" s="564"/>
      <c r="CE14" s="564"/>
      <c r="CF14" s="564"/>
    </row>
    <row r="15" spans="2:85" s="561" customFormat="1" ht="15" x14ac:dyDescent="0.25">
      <c r="B15" s="596" t="s">
        <v>2550</v>
      </c>
      <c r="C15" s="1391">
        <v>0.5490235</v>
      </c>
      <c r="D15" s="1393">
        <f>+E15-C15</f>
        <v>0</v>
      </c>
      <c r="E15" s="1392">
        <f>'[15]FA working'!R26/10^7</f>
        <v>0.5490235</v>
      </c>
      <c r="G15" s="1395"/>
      <c r="H15" s="1395"/>
      <c r="I15" s="564"/>
      <c r="N15" s="1395"/>
      <c r="O15" s="564"/>
      <c r="P15" s="564"/>
      <c r="BP15" s="564"/>
      <c r="BQ15" s="564"/>
      <c r="BR15" s="564"/>
      <c r="BS15" s="564"/>
      <c r="BT15" s="564"/>
      <c r="BU15" s="564"/>
      <c r="BV15" s="564"/>
      <c r="BW15" s="564"/>
      <c r="BX15" s="564"/>
      <c r="BY15" s="564"/>
      <c r="BZ15" s="564"/>
      <c r="CA15" s="564"/>
      <c r="CB15" s="564"/>
      <c r="CC15" s="564"/>
      <c r="CD15" s="564"/>
      <c r="CE15" s="564"/>
      <c r="CF15" s="564"/>
    </row>
    <row r="16" spans="2:85" s="561" customFormat="1" ht="15" x14ac:dyDescent="0.25">
      <c r="B16" s="597" t="str">
        <f>'[15]Statement of changes in equity'!$A$9</f>
        <v>As at 31.03.2022</v>
      </c>
      <c r="C16" s="1403">
        <f>C13+C14-C15</f>
        <v>73.740558899999996</v>
      </c>
      <c r="D16" s="1403">
        <f>D13+D14-D15</f>
        <v>692.84636139999998</v>
      </c>
      <c r="E16" s="1404">
        <f>E13+E14-E15</f>
        <v>766.58692029999997</v>
      </c>
      <c r="G16" s="1395"/>
      <c r="H16" s="1395"/>
      <c r="I16" s="564"/>
      <c r="N16" s="1395"/>
      <c r="O16" s="564"/>
      <c r="P16" s="564"/>
      <c r="BP16" s="564"/>
      <c r="BQ16" s="564"/>
      <c r="BR16" s="564"/>
      <c r="BS16" s="564"/>
      <c r="BT16" s="564"/>
      <c r="BU16" s="564"/>
      <c r="BV16" s="564"/>
      <c r="BW16" s="564"/>
      <c r="BX16" s="564"/>
      <c r="BY16" s="564"/>
      <c r="BZ16" s="564"/>
      <c r="CA16" s="564"/>
      <c r="CB16" s="564"/>
      <c r="CC16" s="564"/>
      <c r="CD16" s="564"/>
      <c r="CE16" s="564"/>
      <c r="CF16" s="564"/>
    </row>
    <row r="17" spans="1:85" s="561" customFormat="1" ht="15" x14ac:dyDescent="0.25">
      <c r="B17" s="596" t="s">
        <v>249</v>
      </c>
      <c r="C17" s="1391">
        <v>24.580186300000001</v>
      </c>
      <c r="D17" s="1393">
        <f>+E17-C17</f>
        <v>229.24232799999999</v>
      </c>
      <c r="E17" s="1392">
        <f>('[15]FA working'!R29+'[15]FA working'!R30)/10^7</f>
        <v>253.82251429999999</v>
      </c>
      <c r="G17" s="1395"/>
      <c r="H17" s="1395"/>
      <c r="I17" s="564"/>
      <c r="N17" s="1395"/>
      <c r="O17" s="564"/>
      <c r="P17" s="564"/>
      <c r="BP17" s="564"/>
      <c r="BQ17" s="564"/>
      <c r="BR17" s="564"/>
      <c r="BS17" s="564"/>
      <c r="BT17" s="564"/>
      <c r="BU17" s="564"/>
      <c r="BV17" s="564"/>
      <c r="BW17" s="564"/>
      <c r="BX17" s="564"/>
      <c r="BY17" s="564"/>
      <c r="BZ17" s="564"/>
      <c r="CA17" s="564"/>
      <c r="CB17" s="564"/>
      <c r="CC17" s="564"/>
      <c r="CD17" s="564"/>
      <c r="CE17" s="564"/>
      <c r="CF17" s="564"/>
    </row>
    <row r="18" spans="1:85" s="561" customFormat="1" ht="15" x14ac:dyDescent="0.25">
      <c r="B18" s="596" t="s">
        <v>2552</v>
      </c>
      <c r="C18" s="1391">
        <v>0</v>
      </c>
      <c r="D18" s="1393">
        <f>+E18-C18</f>
        <v>0</v>
      </c>
      <c r="E18" s="1392">
        <f>'[15]FA working'!R31/10^7</f>
        <v>0</v>
      </c>
      <c r="G18" s="1395"/>
      <c r="H18" s="1395"/>
      <c r="I18" s="564"/>
      <c r="N18" s="1405"/>
      <c r="O18" s="564"/>
      <c r="P18" s="564"/>
      <c r="BP18" s="564"/>
      <c r="BQ18" s="564"/>
      <c r="BR18" s="564"/>
      <c r="BS18" s="564"/>
      <c r="BT18" s="564"/>
      <c r="BU18" s="564"/>
      <c r="BV18" s="564"/>
      <c r="BW18" s="564"/>
      <c r="BX18" s="564"/>
      <c r="BY18" s="564"/>
      <c r="BZ18" s="564"/>
      <c r="CA18" s="564"/>
      <c r="CB18" s="564"/>
      <c r="CC18" s="564"/>
      <c r="CD18" s="564"/>
      <c r="CE18" s="564"/>
      <c r="CF18" s="564"/>
    </row>
    <row r="19" spans="1:85" s="561" customFormat="1" ht="15" x14ac:dyDescent="0.25">
      <c r="B19" s="597" t="str">
        <f>'[15]Statement of changes in equity'!$A$11</f>
        <v>As at 31.03.2023</v>
      </c>
      <c r="C19" s="1403">
        <f>C16+C17-C18</f>
        <v>98.320745200000005</v>
      </c>
      <c r="D19" s="1403">
        <f>D16+D17-D18</f>
        <v>922.08868940000002</v>
      </c>
      <c r="E19" s="1404">
        <f>E16+E17-E18</f>
        <v>1020.4094345999999</v>
      </c>
      <c r="G19" s="1406"/>
      <c r="H19" s="1395"/>
      <c r="I19" s="564"/>
      <c r="N19" s="1406"/>
      <c r="O19" s="564"/>
      <c r="P19" s="564"/>
      <c r="BP19" s="564"/>
      <c r="BQ19" s="564"/>
      <c r="BR19" s="564"/>
      <c r="BS19" s="564"/>
      <c r="BT19" s="564"/>
      <c r="BU19" s="564"/>
      <c r="BV19" s="564"/>
      <c r="BW19" s="564"/>
      <c r="BX19" s="564"/>
      <c r="BY19" s="564"/>
      <c r="BZ19" s="564"/>
      <c r="CA19" s="564"/>
      <c r="CB19" s="564"/>
      <c r="CC19" s="564"/>
      <c r="CD19" s="564"/>
      <c r="CE19" s="564"/>
      <c r="CF19" s="564"/>
    </row>
    <row r="20" spans="1:85" s="561" customFormat="1" ht="15" x14ac:dyDescent="0.25">
      <c r="B20" s="599" t="s">
        <v>2553</v>
      </c>
      <c r="C20" s="1403"/>
      <c r="D20" s="1403"/>
      <c r="E20" s="1404"/>
      <c r="G20" s="1395"/>
      <c r="H20" s="1395"/>
      <c r="I20" s="564"/>
      <c r="N20" s="1395"/>
      <c r="O20" s="564"/>
      <c r="P20" s="564"/>
      <c r="BP20" s="564"/>
      <c r="BQ20" s="564"/>
      <c r="BR20" s="564"/>
      <c r="BS20" s="564"/>
      <c r="BT20" s="564"/>
      <c r="BU20" s="564"/>
      <c r="BV20" s="564"/>
      <c r="BW20" s="564"/>
      <c r="BX20" s="564"/>
      <c r="BY20" s="564"/>
      <c r="BZ20" s="564"/>
      <c r="CA20" s="564"/>
      <c r="CB20" s="564"/>
      <c r="CC20" s="564"/>
      <c r="CD20" s="564"/>
      <c r="CE20" s="564"/>
      <c r="CF20" s="564"/>
    </row>
    <row r="21" spans="1:85" s="561" customFormat="1" ht="15" x14ac:dyDescent="0.25">
      <c r="B21" s="597" t="str">
        <f>'[15]Statement of changes in equity'!$A$5</f>
        <v>As on 31.03.2021</v>
      </c>
      <c r="C21" s="1403">
        <f>C5-C13</f>
        <v>64.068914299999989</v>
      </c>
      <c r="D21" s="1403">
        <f>D5-D13</f>
        <v>3864.6172392999997</v>
      </c>
      <c r="E21" s="1404">
        <f>E5-E13</f>
        <v>3928.6861535999997</v>
      </c>
      <c r="G21" s="1395"/>
      <c r="H21" s="1395"/>
      <c r="I21" s="564"/>
      <c r="N21" s="1395"/>
      <c r="O21" s="564"/>
      <c r="P21" s="564"/>
      <c r="BP21" s="564"/>
      <c r="BQ21" s="564"/>
      <c r="BR21" s="564"/>
      <c r="BS21" s="564"/>
      <c r="BT21" s="564"/>
      <c r="BU21" s="564"/>
      <c r="BV21" s="564"/>
      <c r="BW21" s="564"/>
      <c r="BX21" s="564"/>
      <c r="BY21" s="564"/>
      <c r="BZ21" s="564"/>
      <c r="CA21" s="564"/>
      <c r="CB21" s="564"/>
      <c r="CC21" s="564"/>
      <c r="CD21" s="564"/>
      <c r="CE21" s="564"/>
      <c r="CF21" s="564"/>
    </row>
    <row r="22" spans="1:85" s="561" customFormat="1" ht="15" x14ac:dyDescent="0.25">
      <c r="B22" s="597" t="str">
        <f>'[15]Statement of changes in equity'!$A$9</f>
        <v>As at 31.03.2022</v>
      </c>
      <c r="C22" s="1401">
        <f>C8-C16</f>
        <v>39.391445599999997</v>
      </c>
      <c r="D22" s="1401">
        <f>D8-D16</f>
        <v>3633.6684520999997</v>
      </c>
      <c r="E22" s="1402">
        <f>E8-E16</f>
        <v>3673.0598977</v>
      </c>
      <c r="G22" s="1395"/>
      <c r="H22" s="1395"/>
      <c r="I22" s="564"/>
      <c r="N22" s="1395"/>
      <c r="O22" s="564"/>
      <c r="P22" s="564"/>
      <c r="BP22" s="564"/>
      <c r="BQ22" s="564"/>
      <c r="BR22" s="564"/>
      <c r="BS22" s="564"/>
      <c r="BT22" s="564"/>
      <c r="BU22" s="564"/>
      <c r="BV22" s="564"/>
      <c r="BW22" s="564"/>
      <c r="BX22" s="564"/>
      <c r="BY22" s="564"/>
      <c r="BZ22" s="564"/>
      <c r="CA22" s="564"/>
      <c r="CB22" s="564"/>
      <c r="CC22" s="564"/>
      <c r="CD22" s="564"/>
      <c r="CE22" s="564"/>
      <c r="CF22" s="564"/>
    </row>
    <row r="23" spans="1:85" ht="15" x14ac:dyDescent="0.25">
      <c r="A23" s="600"/>
      <c r="B23" s="597" t="str">
        <f>'[15]Statement of changes in equity'!$A$11</f>
        <v>As at 31.03.2023</v>
      </c>
      <c r="C23" s="1401">
        <f>C11-C19</f>
        <v>14.811259299999989</v>
      </c>
      <c r="D23" s="1401">
        <f>D11-D19</f>
        <v>3404.4261240999999</v>
      </c>
      <c r="E23" s="1402">
        <f>E11-E19</f>
        <v>3419.2373834</v>
      </c>
      <c r="G23" s="601"/>
      <c r="J23" s="600"/>
    </row>
    <row r="24" spans="1:85" ht="15" x14ac:dyDescent="0.25">
      <c r="A24" s="600"/>
      <c r="B24" s="602"/>
      <c r="C24" s="603"/>
      <c r="D24" s="604"/>
      <c r="E24" s="605"/>
      <c r="F24" s="601"/>
      <c r="G24" s="601"/>
      <c r="J24" s="600"/>
    </row>
    <row r="25" spans="1:85" s="561" customFormat="1" ht="15" x14ac:dyDescent="0.25">
      <c r="B25" s="606" t="s">
        <v>2563</v>
      </c>
      <c r="C25" s="1407" t="s">
        <v>832</v>
      </c>
      <c r="D25" s="607"/>
      <c r="E25" s="608"/>
      <c r="F25" s="564"/>
      <c r="G25" s="564"/>
      <c r="H25" s="564"/>
      <c r="I25" s="564"/>
      <c r="J25" s="564"/>
      <c r="O25" s="564"/>
      <c r="P25" s="594"/>
      <c r="Q25" s="594"/>
      <c r="R25" s="595"/>
      <c r="S25" s="582"/>
      <c r="T25" s="582"/>
      <c r="U25" s="582"/>
      <c r="W25" s="582"/>
      <c r="BQ25" s="564"/>
      <c r="BR25" s="564"/>
      <c r="BS25" s="564"/>
      <c r="BT25" s="564"/>
      <c r="BU25" s="564"/>
      <c r="BV25" s="564"/>
      <c r="BW25" s="564"/>
      <c r="BX25" s="564"/>
      <c r="BY25" s="564"/>
      <c r="BZ25" s="564"/>
      <c r="CA25" s="564" t="e">
        <f>#REF!-'[15]Consolidated FA'!CM29</f>
        <v>#REF!</v>
      </c>
      <c r="CB25" s="564" t="e">
        <f>#REF!-'[15]Consolidated FA'!CM27</f>
        <v>#REF!</v>
      </c>
      <c r="CC25" s="564" t="e">
        <f>#REF!-'[15]Consolidated FA'!CM25</f>
        <v>#REF!</v>
      </c>
      <c r="CD25" s="564" t="e">
        <f>+'[15]Consolidated FA'!CM31-#REF!</f>
        <v>#REF!</v>
      </c>
      <c r="CE25" s="564"/>
      <c r="CF25" s="564"/>
      <c r="CG25" s="564"/>
    </row>
    <row r="26" spans="1:85" s="561" customFormat="1" ht="15" customHeight="1" x14ac:dyDescent="0.25">
      <c r="B26" s="1394" t="s">
        <v>2527</v>
      </c>
      <c r="C26" s="1393" t="s">
        <v>2564</v>
      </c>
      <c r="D26" s="1408"/>
      <c r="E26" s="1409"/>
      <c r="F26" s="1390"/>
      <c r="G26" s="1390"/>
      <c r="H26" s="1390"/>
      <c r="I26" s="564"/>
      <c r="N26" s="1390"/>
      <c r="O26" s="594"/>
      <c r="P26" s="594"/>
      <c r="Q26" s="595"/>
      <c r="R26" s="582"/>
      <c r="S26" s="582"/>
      <c r="T26" s="582"/>
      <c r="U26" s="582"/>
      <c r="V26" s="582"/>
      <c r="W26" s="582"/>
      <c r="X26" s="582"/>
      <c r="BP26" s="564"/>
      <c r="BQ26" s="564"/>
      <c r="BR26" s="564"/>
      <c r="BS26" s="564"/>
      <c r="BT26" s="564"/>
      <c r="BU26" s="564"/>
      <c r="BV26" s="564"/>
      <c r="BW26" s="564"/>
      <c r="BX26" s="564"/>
      <c r="BY26" s="564"/>
      <c r="BZ26" s="564"/>
      <c r="CA26" s="564"/>
      <c r="CB26" s="564"/>
      <c r="CC26" s="564"/>
      <c r="CD26" s="564"/>
      <c r="CE26" s="564"/>
      <c r="CF26" s="564"/>
    </row>
    <row r="27" spans="1:85" s="561" customFormat="1" ht="15.75" x14ac:dyDescent="0.25">
      <c r="B27" s="596" t="s">
        <v>2561</v>
      </c>
      <c r="C27" s="1391"/>
      <c r="D27" s="1410"/>
      <c r="E27" s="1411"/>
      <c r="F27" s="1390"/>
      <c r="G27" s="1390"/>
      <c r="H27" s="1390"/>
      <c r="I27" s="564"/>
      <c r="N27" s="1390"/>
      <c r="O27" s="594"/>
      <c r="P27" s="594"/>
      <c r="R27" s="582"/>
      <c r="T27" s="582"/>
      <c r="V27" s="582"/>
      <c r="BP27" s="564"/>
      <c r="BQ27" s="564"/>
      <c r="BR27" s="564"/>
      <c r="BS27" s="564"/>
      <c r="BT27" s="564"/>
      <c r="BU27" s="564"/>
      <c r="BV27" s="564"/>
      <c r="BW27" s="564"/>
      <c r="BX27" s="564"/>
      <c r="BY27" s="564"/>
      <c r="BZ27" s="564"/>
      <c r="CA27" s="564"/>
      <c r="CB27" s="564"/>
      <c r="CC27" s="564"/>
      <c r="CD27" s="564"/>
      <c r="CE27" s="564"/>
      <c r="CF27" s="564"/>
    </row>
    <row r="28" spans="1:85" s="561" customFormat="1" ht="15.75" x14ac:dyDescent="0.25">
      <c r="B28" s="597" t="str">
        <f>'[15]Statement of changes in equity'!$A$5</f>
        <v>As on 31.03.2021</v>
      </c>
      <c r="C28" s="1393">
        <f>'[15]FA working'!Q9/10^7</f>
        <v>34.142689847</v>
      </c>
      <c r="D28" s="1408"/>
      <c r="E28" s="1409"/>
      <c r="F28" s="1390"/>
      <c r="G28" s="1390"/>
      <c r="H28" s="1390"/>
      <c r="I28" s="564"/>
      <c r="N28" s="1390"/>
      <c r="O28" s="594"/>
      <c r="P28" s="594"/>
      <c r="Q28" s="595"/>
      <c r="R28" s="564"/>
      <c r="U28" s="582"/>
      <c r="V28" s="582"/>
      <c r="BP28" s="564"/>
      <c r="BQ28" s="564"/>
      <c r="BR28" s="564"/>
      <c r="BS28" s="564"/>
      <c r="BT28" s="564"/>
      <c r="BU28" s="564"/>
      <c r="BV28" s="564"/>
      <c r="BW28" s="564"/>
      <c r="BX28" s="564"/>
      <c r="BY28" s="564"/>
      <c r="BZ28" s="564"/>
      <c r="CA28" s="564"/>
      <c r="CB28" s="564"/>
      <c r="CC28" s="564"/>
      <c r="CD28" s="564"/>
      <c r="CE28" s="564"/>
      <c r="CF28" s="564"/>
    </row>
    <row r="29" spans="1:85" s="561" customFormat="1" ht="15" x14ac:dyDescent="0.25">
      <c r="B29" s="596" t="s">
        <v>249</v>
      </c>
      <c r="C29" s="1412">
        <f>'[15]FA working'!Q11/10^7</f>
        <v>3.2636266509999996</v>
      </c>
      <c r="D29" s="1410"/>
      <c r="E29" s="1411"/>
      <c r="F29" s="1395"/>
      <c r="G29" s="1395"/>
      <c r="H29" s="1395"/>
      <c r="I29" s="564"/>
      <c r="N29" s="1395"/>
      <c r="O29" s="564"/>
      <c r="P29" s="564"/>
      <c r="V29" s="582"/>
      <c r="BP29" s="564"/>
      <c r="BQ29" s="564"/>
      <c r="BR29" s="564"/>
      <c r="BS29" s="564"/>
      <c r="BT29" s="564"/>
      <c r="BU29" s="564"/>
      <c r="BV29" s="564"/>
      <c r="BW29" s="564"/>
      <c r="BX29" s="564"/>
      <c r="BY29" s="564"/>
      <c r="BZ29" s="564"/>
      <c r="CA29" s="564"/>
      <c r="CB29" s="564"/>
      <c r="CC29" s="564"/>
      <c r="CD29" s="564"/>
      <c r="CE29" s="564"/>
      <c r="CF29" s="564"/>
    </row>
    <row r="30" spans="1:85" s="561" customFormat="1" ht="15" x14ac:dyDescent="0.25">
      <c r="B30" s="596" t="s">
        <v>2550</v>
      </c>
      <c r="C30" s="1412">
        <f>'[15]FA working'!Q12/10^7</f>
        <v>0</v>
      </c>
      <c r="D30" s="1410"/>
      <c r="E30" s="1411"/>
      <c r="F30" s="1395"/>
      <c r="G30" s="1395"/>
      <c r="H30" s="1395"/>
      <c r="I30" s="564"/>
      <c r="N30" s="1395"/>
      <c r="O30" s="564"/>
      <c r="P30" s="564"/>
      <c r="Q30" s="595"/>
      <c r="W30" s="582"/>
      <c r="BP30" s="564"/>
      <c r="BQ30" s="564"/>
      <c r="BR30" s="564"/>
      <c r="BS30" s="564"/>
      <c r="BT30" s="564"/>
      <c r="BU30" s="564"/>
      <c r="BV30" s="564"/>
      <c r="BW30" s="564"/>
      <c r="BX30" s="564"/>
      <c r="BY30" s="564"/>
      <c r="BZ30" s="564"/>
      <c r="CA30" s="564"/>
      <c r="CB30" s="564"/>
      <c r="CC30" s="564"/>
      <c r="CD30" s="564"/>
      <c r="CE30" s="564"/>
      <c r="CF30" s="564"/>
    </row>
    <row r="31" spans="1:85" s="561" customFormat="1" ht="15" x14ac:dyDescent="0.25">
      <c r="B31" s="597" t="str">
        <f>'[15]Statement of changes in equity'!$A$9</f>
        <v>As at 31.03.2022</v>
      </c>
      <c r="C31" s="1399">
        <f>C28+C29-C30</f>
        <v>37.406316498000002</v>
      </c>
      <c r="D31" s="1410"/>
      <c r="E31" s="1411"/>
      <c r="F31" s="1395"/>
      <c r="G31" s="1395"/>
      <c r="H31" s="1395"/>
      <c r="I31" s="564"/>
      <c r="N31" s="1395"/>
      <c r="O31" s="564"/>
      <c r="P31" s="564"/>
      <c r="Q31" s="595"/>
      <c r="T31" s="1398"/>
      <c r="U31" s="582"/>
      <c r="V31" s="582"/>
      <c r="BP31" s="564"/>
      <c r="BQ31" s="564"/>
      <c r="BR31" s="564"/>
      <c r="BS31" s="564"/>
      <c r="BT31" s="564"/>
      <c r="BU31" s="564"/>
      <c r="BV31" s="564"/>
      <c r="BW31" s="564"/>
      <c r="BX31" s="564"/>
      <c r="BY31" s="564"/>
      <c r="BZ31" s="564"/>
      <c r="CA31" s="564"/>
      <c r="CB31" s="564"/>
      <c r="CC31" s="564"/>
      <c r="CD31" s="564"/>
      <c r="CE31" s="564"/>
      <c r="CF31" s="564"/>
    </row>
    <row r="32" spans="1:85" s="561" customFormat="1" ht="15" x14ac:dyDescent="0.25">
      <c r="B32" s="596" t="s">
        <v>249</v>
      </c>
      <c r="C32" s="1399">
        <f>'[15]FA working'!Q16/10^7</f>
        <v>2.8820104730000002</v>
      </c>
      <c r="D32" s="1410"/>
      <c r="E32" s="1411"/>
      <c r="F32" s="1395"/>
      <c r="G32" s="1395"/>
      <c r="H32" s="1395"/>
      <c r="I32" s="564"/>
      <c r="N32" s="1395"/>
      <c r="O32" s="564"/>
      <c r="P32" s="564"/>
      <c r="Q32" s="595"/>
      <c r="V32" s="580"/>
      <c r="BP32" s="564"/>
      <c r="BQ32" s="564"/>
      <c r="BR32" s="564"/>
      <c r="BS32" s="564"/>
      <c r="BT32" s="564"/>
      <c r="BU32" s="564"/>
      <c r="BV32" s="564"/>
      <c r="BW32" s="564"/>
      <c r="BX32" s="564"/>
      <c r="BY32" s="564"/>
      <c r="BZ32" s="564"/>
      <c r="CA32" s="564"/>
      <c r="CB32" s="564"/>
      <c r="CC32" s="564"/>
      <c r="CD32" s="564"/>
      <c r="CE32" s="564"/>
      <c r="CF32" s="564"/>
    </row>
    <row r="33" spans="1:84" s="561" customFormat="1" ht="15" x14ac:dyDescent="0.25">
      <c r="B33" s="596" t="s">
        <v>2550</v>
      </c>
      <c r="C33" s="1391">
        <f>'[15]FA working'!Q17/10^7</f>
        <v>0.11793038</v>
      </c>
      <c r="D33" s="1410"/>
      <c r="E33" s="1411"/>
      <c r="F33" s="1395"/>
      <c r="G33" s="1395"/>
      <c r="H33" s="1395"/>
      <c r="I33" s="598"/>
      <c r="N33" s="1395"/>
      <c r="O33" s="564"/>
      <c r="P33" s="564"/>
      <c r="Q33" s="595"/>
      <c r="T33" s="582"/>
      <c r="U33" s="582"/>
      <c r="V33" s="580"/>
      <c r="BP33" s="564"/>
      <c r="BQ33" s="564"/>
      <c r="BR33" s="564"/>
      <c r="BS33" s="564"/>
      <c r="BT33" s="564"/>
      <c r="BU33" s="564"/>
      <c r="BV33" s="564"/>
      <c r="BW33" s="564"/>
      <c r="BX33" s="564"/>
      <c r="BY33" s="564"/>
      <c r="BZ33" s="564"/>
      <c r="CA33" s="564"/>
      <c r="CB33" s="564"/>
      <c r="CC33" s="564"/>
      <c r="CD33" s="564"/>
      <c r="CE33" s="564"/>
      <c r="CF33" s="564"/>
    </row>
    <row r="34" spans="1:84" s="561" customFormat="1" ht="15" x14ac:dyDescent="0.25">
      <c r="B34" s="597" t="str">
        <f>'[15]Statement of changes in equity'!$A$11</f>
        <v>As at 31.03.2023</v>
      </c>
      <c r="C34" s="1413">
        <f>C31+C32-C33</f>
        <v>40.170396591000006</v>
      </c>
      <c r="D34" s="1410"/>
      <c r="E34" s="1411"/>
      <c r="F34" s="1395"/>
      <c r="G34" s="1395"/>
      <c r="H34" s="1395"/>
      <c r="I34" s="564"/>
      <c r="N34" s="1395"/>
      <c r="O34" s="564"/>
      <c r="P34" s="564"/>
      <c r="V34" s="576"/>
      <c r="BP34" s="564"/>
      <c r="BQ34" s="564"/>
      <c r="BR34" s="564"/>
      <c r="BS34" s="564"/>
      <c r="BT34" s="564"/>
      <c r="BU34" s="564"/>
      <c r="BV34" s="564"/>
      <c r="BW34" s="564"/>
      <c r="BX34" s="564"/>
      <c r="BY34" s="564"/>
      <c r="BZ34" s="564"/>
      <c r="CA34" s="564"/>
      <c r="CB34" s="564"/>
      <c r="CC34" s="564"/>
      <c r="CD34" s="564"/>
      <c r="CE34" s="564"/>
      <c r="CF34" s="564"/>
    </row>
    <row r="35" spans="1:84" s="561" customFormat="1" ht="15" x14ac:dyDescent="0.25">
      <c r="B35" s="599" t="s">
        <v>2562</v>
      </c>
      <c r="C35" s="1391"/>
      <c r="D35" s="1410"/>
      <c r="E35" s="1411"/>
      <c r="F35" s="1395"/>
      <c r="G35" s="1395"/>
      <c r="H35" s="1395"/>
      <c r="I35" s="564"/>
      <c r="N35" s="1395"/>
      <c r="O35" s="564">
        <f>10^7</f>
        <v>10000000</v>
      </c>
      <c r="P35" s="564"/>
      <c r="BP35" s="564"/>
      <c r="BQ35" s="564"/>
      <c r="BR35" s="564"/>
      <c r="BS35" s="564"/>
      <c r="BT35" s="564"/>
      <c r="BU35" s="564"/>
      <c r="BV35" s="564"/>
      <c r="BW35" s="564"/>
      <c r="BX35" s="564"/>
      <c r="BY35" s="564"/>
      <c r="BZ35" s="564"/>
      <c r="CA35" s="564"/>
      <c r="CB35" s="564"/>
      <c r="CC35" s="564"/>
      <c r="CD35" s="564"/>
      <c r="CE35" s="564"/>
      <c r="CF35" s="564"/>
    </row>
    <row r="36" spans="1:84" s="561" customFormat="1" ht="15" x14ac:dyDescent="0.25">
      <c r="B36" s="597" t="str">
        <f>'[15]Statement of changes in equity'!$A$5</f>
        <v>As on 31.03.2021</v>
      </c>
      <c r="C36" s="1391">
        <f>'[15]FA working'!Q23/10^7</f>
        <v>31.513010680000001</v>
      </c>
      <c r="D36" s="1410"/>
      <c r="E36" s="1411"/>
      <c r="F36" s="1395"/>
      <c r="G36" s="1395"/>
      <c r="H36" s="1395"/>
      <c r="I36" s="564"/>
      <c r="N36" s="1395"/>
      <c r="O36" s="564"/>
      <c r="P36" s="564"/>
      <c r="V36" s="564"/>
      <c r="BP36" s="564"/>
      <c r="BQ36" s="564"/>
      <c r="BR36" s="564"/>
      <c r="BS36" s="564"/>
      <c r="BT36" s="564"/>
      <c r="BU36" s="564"/>
      <c r="BV36" s="564"/>
      <c r="BW36" s="564"/>
      <c r="BX36" s="564"/>
      <c r="BY36" s="564"/>
      <c r="BZ36" s="564"/>
      <c r="CA36" s="564"/>
      <c r="CB36" s="564"/>
      <c r="CC36" s="564"/>
      <c r="CD36" s="564"/>
      <c r="CE36" s="564"/>
      <c r="CF36" s="564"/>
    </row>
    <row r="37" spans="1:84" s="561" customFormat="1" ht="15" x14ac:dyDescent="0.25">
      <c r="B37" s="596" t="s">
        <v>249</v>
      </c>
      <c r="C37" s="1399">
        <f>('[15]FA working'!Q24+'[15]FA working'!Q25)/10^7</f>
        <v>2.7501118350000002</v>
      </c>
      <c r="D37" s="1410"/>
      <c r="E37" s="1411"/>
      <c r="F37" s="1395"/>
      <c r="G37" s="1395"/>
      <c r="H37" s="1395"/>
      <c r="I37" s="564"/>
      <c r="N37" s="1395"/>
      <c r="O37" s="564"/>
      <c r="P37" s="564"/>
      <c r="BP37" s="564"/>
      <c r="BQ37" s="564"/>
      <c r="BR37" s="564"/>
      <c r="BS37" s="564"/>
      <c r="BT37" s="564"/>
      <c r="BU37" s="564"/>
      <c r="BV37" s="564"/>
      <c r="BW37" s="564"/>
      <c r="BX37" s="564"/>
      <c r="BY37" s="564"/>
      <c r="BZ37" s="564"/>
      <c r="CA37" s="564"/>
      <c r="CB37" s="564"/>
      <c r="CC37" s="564"/>
      <c r="CD37" s="564"/>
      <c r="CE37" s="564"/>
      <c r="CF37" s="564"/>
    </row>
    <row r="38" spans="1:84" s="561" customFormat="1" ht="15" x14ac:dyDescent="0.25">
      <c r="B38" s="596" t="s">
        <v>2550</v>
      </c>
      <c r="C38" s="1391">
        <f>'[15]FA working'!Q26/10^7</f>
        <v>0</v>
      </c>
      <c r="D38" s="1410"/>
      <c r="E38" s="1411"/>
      <c r="F38" s="1395"/>
      <c r="G38" s="1395"/>
      <c r="H38" s="1395"/>
      <c r="I38" s="564"/>
      <c r="N38" s="1395"/>
      <c r="O38" s="564"/>
      <c r="P38" s="564"/>
      <c r="BP38" s="564"/>
      <c r="BQ38" s="564"/>
      <c r="BR38" s="564"/>
      <c r="BS38" s="564"/>
      <c r="BT38" s="564"/>
      <c r="BU38" s="564"/>
      <c r="BV38" s="564"/>
      <c r="BW38" s="564"/>
      <c r="BX38" s="564"/>
      <c r="BY38" s="564"/>
      <c r="BZ38" s="564"/>
      <c r="CA38" s="564"/>
      <c r="CB38" s="564"/>
      <c r="CC38" s="564"/>
      <c r="CD38" s="564"/>
      <c r="CE38" s="564"/>
      <c r="CF38" s="564"/>
    </row>
    <row r="39" spans="1:84" s="561" customFormat="1" ht="15" x14ac:dyDescent="0.25">
      <c r="B39" s="597" t="str">
        <f>'[15]Statement of changes in equity'!$A$9</f>
        <v>As at 31.03.2022</v>
      </c>
      <c r="C39" s="1391">
        <f>C36+C37-C38</f>
        <v>34.263122514999999</v>
      </c>
      <c r="D39" s="1410"/>
      <c r="E39" s="1411"/>
      <c r="F39" s="1395"/>
      <c r="G39" s="1395"/>
      <c r="H39" s="1395"/>
      <c r="I39" s="564"/>
      <c r="N39" s="1395"/>
      <c r="O39" s="564"/>
      <c r="P39" s="564"/>
      <c r="BP39" s="564"/>
      <c r="BQ39" s="564"/>
      <c r="BR39" s="564"/>
      <c r="BS39" s="564"/>
      <c r="BT39" s="564"/>
      <c r="BU39" s="564"/>
      <c r="BV39" s="564"/>
      <c r="BW39" s="564"/>
      <c r="BX39" s="564"/>
      <c r="BY39" s="564"/>
      <c r="BZ39" s="564"/>
      <c r="CA39" s="564"/>
      <c r="CB39" s="564"/>
      <c r="CC39" s="564"/>
      <c r="CD39" s="564"/>
      <c r="CE39" s="564"/>
      <c r="CF39" s="564"/>
    </row>
    <row r="40" spans="1:84" s="561" customFormat="1" ht="15" x14ac:dyDescent="0.25">
      <c r="B40" s="596" t="s">
        <v>249</v>
      </c>
      <c r="C40" s="1399">
        <f>('[15]FA working'!Q29+'[15]FA working'!Q30)/10^7</f>
        <v>1.7311343879999999</v>
      </c>
      <c r="D40" s="1410">
        <f>+C40</f>
        <v>1.7311343879999999</v>
      </c>
      <c r="E40" s="1411"/>
      <c r="F40" s="1395"/>
      <c r="G40" s="1395"/>
      <c r="H40" s="1395"/>
      <c r="I40" s="564"/>
      <c r="J40" s="561" t="s">
        <v>2565</v>
      </c>
      <c r="L40" s="577">
        <v>1606227616.51</v>
      </c>
      <c r="M40" s="609">
        <v>1606227616.51</v>
      </c>
      <c r="N40" s="1362">
        <f t="shared" ref="N40:N63" si="0">(L40-M40)/(10^7)</f>
        <v>0</v>
      </c>
      <c r="O40" s="564"/>
      <c r="P40" s="564"/>
      <c r="BP40" s="564"/>
      <c r="BQ40" s="564"/>
      <c r="BR40" s="564"/>
      <c r="BS40" s="564"/>
      <c r="BT40" s="564"/>
      <c r="BU40" s="564"/>
      <c r="BV40" s="564"/>
      <c r="BW40" s="564"/>
      <c r="BX40" s="564"/>
      <c r="BY40" s="564"/>
      <c r="BZ40" s="564"/>
      <c r="CA40" s="564"/>
      <c r="CB40" s="564"/>
      <c r="CC40" s="564"/>
      <c r="CD40" s="564"/>
      <c r="CE40" s="564"/>
      <c r="CF40" s="564"/>
    </row>
    <row r="41" spans="1:84" s="561" customFormat="1" ht="15" x14ac:dyDescent="0.25">
      <c r="B41" s="596" t="s">
        <v>2552</v>
      </c>
      <c r="C41" s="1391">
        <f>'[15]FA working'!Q31/10^7</f>
        <v>0.11793038</v>
      </c>
      <c r="D41" s="1412"/>
      <c r="E41" s="1411"/>
      <c r="F41" s="1395"/>
      <c r="G41" s="1395"/>
      <c r="H41" s="1395"/>
      <c r="I41" s="564"/>
      <c r="J41" s="561" t="s">
        <v>2566</v>
      </c>
      <c r="L41" s="561">
        <v>0</v>
      </c>
      <c r="M41" s="561">
        <v>0</v>
      </c>
      <c r="N41" s="1362">
        <f t="shared" si="0"/>
        <v>0</v>
      </c>
      <c r="O41" s="564"/>
      <c r="P41" s="564"/>
      <c r="BP41" s="564"/>
      <c r="BQ41" s="564"/>
      <c r="BR41" s="564"/>
      <c r="BS41" s="564"/>
      <c r="BT41" s="564"/>
      <c r="BU41" s="564"/>
      <c r="BV41" s="564"/>
      <c r="BW41" s="564"/>
      <c r="BX41" s="564"/>
      <c r="BY41" s="564"/>
      <c r="BZ41" s="564"/>
      <c r="CA41" s="564"/>
      <c r="CB41" s="564"/>
      <c r="CC41" s="564"/>
      <c r="CD41" s="564"/>
      <c r="CE41" s="564"/>
      <c r="CF41" s="564"/>
    </row>
    <row r="42" spans="1:84" s="561" customFormat="1" ht="15" x14ac:dyDescent="0.25">
      <c r="B42" s="597" t="str">
        <f>'[15]Statement of changes in equity'!$A$11</f>
        <v>As at 31.03.2023</v>
      </c>
      <c r="C42" s="1403">
        <f>C39+C40-C41</f>
        <v>35.876326523000003</v>
      </c>
      <c r="D42" s="1414"/>
      <c r="E42" s="1415"/>
      <c r="F42" s="1406"/>
      <c r="G42" s="1406"/>
      <c r="H42" s="1395"/>
      <c r="I42" s="564"/>
      <c r="J42" s="561" t="s">
        <v>2567</v>
      </c>
      <c r="L42" s="577">
        <v>2386425490.9899998</v>
      </c>
      <c r="M42" s="577">
        <v>2386425490.9899998</v>
      </c>
      <c r="N42" s="1362">
        <f t="shared" si="0"/>
        <v>0</v>
      </c>
      <c r="O42" s="564"/>
      <c r="P42" s="564"/>
      <c r="BP42" s="564"/>
      <c r="BQ42" s="564"/>
      <c r="BR42" s="564"/>
      <c r="BS42" s="564"/>
      <c r="BT42" s="564"/>
      <c r="BU42" s="564"/>
      <c r="BV42" s="564"/>
      <c r="BW42" s="564"/>
      <c r="BX42" s="564"/>
      <c r="BY42" s="564"/>
      <c r="BZ42" s="564"/>
      <c r="CA42" s="564"/>
      <c r="CB42" s="564"/>
      <c r="CC42" s="564"/>
      <c r="CD42" s="564"/>
      <c r="CE42" s="564"/>
      <c r="CF42" s="564"/>
    </row>
    <row r="43" spans="1:84" s="561" customFormat="1" ht="15" x14ac:dyDescent="0.25">
      <c r="B43" s="599" t="s">
        <v>2553</v>
      </c>
      <c r="C43" s="1403"/>
      <c r="D43" s="1414"/>
      <c r="E43" s="1415"/>
      <c r="F43" s="1395"/>
      <c r="G43" s="1395"/>
      <c r="H43" s="1395"/>
      <c r="I43" s="564"/>
      <c r="J43" s="561" t="s">
        <v>2568</v>
      </c>
      <c r="L43" s="577">
        <v>291080505</v>
      </c>
      <c r="M43" s="577">
        <v>291080505</v>
      </c>
      <c r="N43" s="1362">
        <f t="shared" si="0"/>
        <v>0</v>
      </c>
      <c r="O43" s="564"/>
      <c r="P43" s="564"/>
      <c r="BP43" s="564"/>
      <c r="BQ43" s="564"/>
      <c r="BR43" s="564"/>
      <c r="BS43" s="564"/>
      <c r="BT43" s="564"/>
      <c r="BU43" s="564"/>
      <c r="BV43" s="564"/>
      <c r="BW43" s="564"/>
      <c r="BX43" s="564"/>
      <c r="BY43" s="564"/>
      <c r="BZ43" s="564"/>
      <c r="CA43" s="564"/>
      <c r="CB43" s="564"/>
      <c r="CC43" s="564"/>
      <c r="CD43" s="564"/>
      <c r="CE43" s="564"/>
      <c r="CF43" s="564"/>
    </row>
    <row r="44" spans="1:84" s="561" customFormat="1" ht="15" x14ac:dyDescent="0.25">
      <c r="B44" s="597" t="str">
        <f>'[15]Statement of changes in equity'!$A$5</f>
        <v>As on 31.03.2021</v>
      </c>
      <c r="C44" s="1403">
        <f>C28-C36</f>
        <v>2.629679166999999</v>
      </c>
      <c r="D44" s="1414"/>
      <c r="E44" s="1415"/>
      <c r="F44" s="1395"/>
      <c r="G44" s="1395"/>
      <c r="H44" s="1395"/>
      <c r="I44" s="564"/>
      <c r="J44" s="561" t="s">
        <v>2569</v>
      </c>
      <c r="L44" s="577">
        <v>30578011.280000001</v>
      </c>
      <c r="M44" s="577">
        <v>30578011.280000001</v>
      </c>
      <c r="N44" s="1362">
        <f t="shared" si="0"/>
        <v>0</v>
      </c>
      <c r="O44" s="564"/>
      <c r="P44" s="564"/>
      <c r="BP44" s="564"/>
      <c r="BQ44" s="564"/>
      <c r="BR44" s="564"/>
      <c r="BS44" s="564"/>
      <c r="BT44" s="564"/>
      <c r="BU44" s="564"/>
      <c r="BV44" s="564"/>
      <c r="BW44" s="564"/>
      <c r="BX44" s="564"/>
      <c r="BY44" s="564"/>
      <c r="BZ44" s="564"/>
      <c r="CA44" s="564"/>
      <c r="CB44" s="564"/>
      <c r="CC44" s="564"/>
      <c r="CD44" s="564"/>
      <c r="CE44" s="564"/>
      <c r="CF44" s="564"/>
    </row>
    <row r="45" spans="1:84" s="561" customFormat="1" ht="15" x14ac:dyDescent="0.25">
      <c r="B45" s="597" t="str">
        <f>'[15]Statement of changes in equity'!$A$9</f>
        <v>As at 31.03.2022</v>
      </c>
      <c r="C45" s="1401">
        <f>C31-C39</f>
        <v>3.1431939830000033</v>
      </c>
      <c r="D45" s="1416"/>
      <c r="E45" s="1415"/>
      <c r="F45" s="1395"/>
      <c r="G45" s="1395"/>
      <c r="H45" s="1395"/>
      <c r="I45" s="564"/>
      <c r="J45" s="561" t="s">
        <v>2570</v>
      </c>
      <c r="L45" s="577">
        <v>7874404893.6899996</v>
      </c>
      <c r="M45" s="577">
        <v>7874404893.6899996</v>
      </c>
      <c r="N45" s="1362">
        <f t="shared" si="0"/>
        <v>0</v>
      </c>
      <c r="O45" s="564"/>
      <c r="P45" s="564"/>
      <c r="BP45" s="564"/>
      <c r="BQ45" s="564"/>
      <c r="BR45" s="564"/>
      <c r="BS45" s="564"/>
      <c r="BT45" s="564"/>
      <c r="BU45" s="564"/>
      <c r="BV45" s="564"/>
      <c r="BW45" s="564"/>
      <c r="BX45" s="564"/>
      <c r="BY45" s="564"/>
      <c r="BZ45" s="564"/>
      <c r="CA45" s="564"/>
      <c r="CB45" s="564"/>
      <c r="CC45" s="564"/>
      <c r="CD45" s="564"/>
      <c r="CE45" s="564"/>
      <c r="CF45" s="564"/>
    </row>
    <row r="46" spans="1:84" ht="15" x14ac:dyDescent="0.25">
      <c r="A46" s="600"/>
      <c r="B46" s="597" t="str">
        <f>'[15]Statement of changes in equity'!$A$11</f>
        <v>As at 31.03.2023</v>
      </c>
      <c r="C46" s="610">
        <f>C34-C42</f>
        <v>4.2940700680000035</v>
      </c>
      <c r="D46" s="1417">
        <f>'[15]Balance sheet groupings'!C51-'[15]Balance sheet groupings'!C52</f>
        <v>4.2940700679999964</v>
      </c>
      <c r="E46" s="605"/>
      <c r="F46" s="601"/>
      <c r="G46" s="601"/>
      <c r="J46" s="600" t="s">
        <v>2571</v>
      </c>
      <c r="L46" s="425">
        <v>4184717.01</v>
      </c>
      <c r="M46" s="425">
        <v>4184717.01</v>
      </c>
      <c r="N46" s="1362">
        <f t="shared" si="0"/>
        <v>0</v>
      </c>
    </row>
    <row r="47" spans="1:84" ht="15" x14ac:dyDescent="0.25">
      <c r="A47" s="600"/>
      <c r="B47" s="245"/>
      <c r="C47" s="326"/>
      <c r="D47" s="163"/>
      <c r="E47" s="299"/>
      <c r="J47" t="s">
        <v>2572</v>
      </c>
      <c r="K47" s="600"/>
      <c r="L47" s="425">
        <v>11154019.390000001</v>
      </c>
      <c r="M47" s="425">
        <v>11154019.390000001</v>
      </c>
      <c r="N47" s="1362">
        <f t="shared" si="0"/>
        <v>0</v>
      </c>
    </row>
    <row r="48" spans="1:84" ht="15" x14ac:dyDescent="0.25">
      <c r="A48" s="600"/>
      <c r="B48" s="611" t="s">
        <v>2573</v>
      </c>
      <c r="C48" s="612"/>
      <c r="D48" s="1407" t="s">
        <v>832</v>
      </c>
      <c r="E48" s="516"/>
      <c r="F48" s="613"/>
      <c r="J48" t="s">
        <v>2574</v>
      </c>
      <c r="K48" s="600"/>
      <c r="L48" s="425">
        <v>389471</v>
      </c>
      <c r="M48" s="425">
        <v>389471</v>
      </c>
      <c r="N48" s="1362">
        <f t="shared" si="0"/>
        <v>0</v>
      </c>
      <c r="O48" s="614"/>
    </row>
    <row r="49" spans="1:15" ht="15" x14ac:dyDescent="0.25">
      <c r="A49" s="600"/>
      <c r="B49" s="615" t="s">
        <v>2575</v>
      </c>
      <c r="C49" s="1418" t="str">
        <f>+'[15]balance sheet P&amp;L'!$D$3</f>
        <v>31.03.2023</v>
      </c>
      <c r="D49" s="1419" t="str">
        <f>+'[15]balance sheet P&amp;L'!$E$3</f>
        <v>31.03.2022</v>
      </c>
      <c r="E49" s="1420" t="str">
        <f>+'[15]Statement of changes in equity'!$A$5</f>
        <v>As on 31.03.2021</v>
      </c>
      <c r="F49" s="613"/>
      <c r="J49" t="s">
        <v>2576</v>
      </c>
      <c r="K49" s="600"/>
      <c r="L49" s="425">
        <v>19600</v>
      </c>
      <c r="M49" s="425">
        <v>19600</v>
      </c>
      <c r="N49" s="1362">
        <f t="shared" si="0"/>
        <v>0</v>
      </c>
      <c r="O49" s="616"/>
    </row>
    <row r="50" spans="1:15" ht="15" x14ac:dyDescent="0.25">
      <c r="A50" s="600"/>
      <c r="B50" s="617" t="s">
        <v>609</v>
      </c>
      <c r="C50" s="1421">
        <f>+'[15]Balance sheet groupings'!C65-'[15]Balance sheet groupings'!C81</f>
        <v>123.92182990399999</v>
      </c>
      <c r="D50" s="1422">
        <f>+'[15]Balance sheet groupings'!E65-'[15]Balance sheet groupings'!E81</f>
        <v>123.916164804</v>
      </c>
      <c r="E50" s="618">
        <v>196.68030740199993</v>
      </c>
      <c r="F50" s="613"/>
      <c r="J50" t="s">
        <v>2577</v>
      </c>
      <c r="K50" s="600"/>
      <c r="L50" s="425">
        <v>6001514</v>
      </c>
      <c r="M50" s="425">
        <v>6001514</v>
      </c>
      <c r="N50" s="1362">
        <f t="shared" si="0"/>
        <v>0</v>
      </c>
      <c r="O50" s="619"/>
    </row>
    <row r="51" spans="1:15" ht="15" x14ac:dyDescent="0.25">
      <c r="A51" s="600"/>
      <c r="B51" s="620" t="s">
        <v>2578</v>
      </c>
      <c r="C51" s="1423">
        <f>+('[15]Balance sheet groupings'!C60+'[15]Balance sheet groupings'!C61)-('[15]Balance sheet groupings'!C76+'[15]Balance sheet groupings'!C77)</f>
        <v>2.5380567879999987</v>
      </c>
      <c r="D51" s="1422">
        <f>+('[15]Balance sheet groupings'!E60+'[15]Balance sheet groupings'!E61)-('[15]Balance sheet groupings'!E76+'[15]Balance sheet groupings'!E77)</f>
        <v>2.5380567879999987</v>
      </c>
      <c r="E51" s="618">
        <v>6.6259208020000031</v>
      </c>
      <c r="F51" s="613"/>
      <c r="J51" t="s">
        <v>2579</v>
      </c>
      <c r="K51" s="600"/>
      <c r="L51" s="425">
        <v>1180907</v>
      </c>
      <c r="M51" s="425">
        <v>1180907</v>
      </c>
      <c r="N51" s="1362">
        <f t="shared" si="0"/>
        <v>0</v>
      </c>
      <c r="O51" s="619"/>
    </row>
    <row r="52" spans="1:15" ht="15" x14ac:dyDescent="0.25">
      <c r="A52" s="600"/>
      <c r="B52" s="620" t="s">
        <v>471</v>
      </c>
      <c r="C52" s="1423">
        <f>+'[15]Balance sheet groupings'!C62-'[15]Balance sheet groupings'!C78</f>
        <v>9.0326673450000072</v>
      </c>
      <c r="D52" s="1422">
        <f>+'[15]Balance sheet groupings'!E62-'[15]Balance sheet groupings'!E78</f>
        <v>9.0326673450000072</v>
      </c>
      <c r="E52" s="618">
        <v>13.767354273999999</v>
      </c>
      <c r="F52" s="613"/>
      <c r="J52" t="s">
        <v>2580</v>
      </c>
      <c r="K52" s="600"/>
      <c r="L52" s="425">
        <v>2469122</v>
      </c>
      <c r="M52" s="425">
        <v>1648429</v>
      </c>
      <c r="N52" s="1362">
        <f t="shared" si="0"/>
        <v>8.2069299999999998E-2</v>
      </c>
      <c r="O52" s="619"/>
    </row>
    <row r="53" spans="1:15" ht="15" x14ac:dyDescent="0.25">
      <c r="A53" s="600"/>
      <c r="B53" s="620" t="s">
        <v>2581</v>
      </c>
      <c r="C53" s="1423">
        <f>+('[15]Balance sheet groupings'!C63+'[15]Balance sheet groupings'!C64)-('[15]Balance sheet groupings'!C79+'[15]Balance sheet groupings'!C80)</f>
        <v>4.3747074950000027</v>
      </c>
      <c r="D53" s="1422">
        <f>+('[15]Balance sheet groupings'!E63+'[15]Balance sheet groupings'!E64)-('[15]Balance sheet groupings'!E79+'[15]Balance sheet groupings'!E80)</f>
        <v>4.3747074950000027</v>
      </c>
      <c r="E53" s="618">
        <v>26.258040270999999</v>
      </c>
      <c r="F53" s="613"/>
      <c r="J53" t="s">
        <v>2582</v>
      </c>
      <c r="K53" s="600"/>
      <c r="L53" s="425">
        <v>969345.45</v>
      </c>
      <c r="M53" s="425">
        <v>124515</v>
      </c>
      <c r="N53" s="1362">
        <f t="shared" si="0"/>
        <v>8.4483044999999993E-2</v>
      </c>
      <c r="O53" s="619"/>
    </row>
    <row r="54" spans="1:15" ht="15" x14ac:dyDescent="0.25">
      <c r="A54" s="600"/>
      <c r="B54" s="620" t="s">
        <v>2583</v>
      </c>
      <c r="C54" s="1423">
        <f>+'[15]Balance sheet groupings'!C66-'[15]Balance sheet groupings'!C82</f>
        <v>0.8114316920000002</v>
      </c>
      <c r="D54" s="1422">
        <f>+'[15]Balance sheet groupings'!E66-'[15]Balance sheet groupings'!E82</f>
        <v>0.8114316920000002</v>
      </c>
      <c r="E54" s="618">
        <v>1.825158616999996</v>
      </c>
      <c r="F54" s="613"/>
      <c r="J54" t="s">
        <v>2584</v>
      </c>
      <c r="K54" s="600"/>
      <c r="L54" s="425">
        <v>6158465</v>
      </c>
      <c r="M54" s="425">
        <v>6158465</v>
      </c>
      <c r="N54" s="1362">
        <f t="shared" si="0"/>
        <v>0</v>
      </c>
      <c r="O54" s="619"/>
    </row>
    <row r="55" spans="1:15" ht="15" x14ac:dyDescent="0.25">
      <c r="A55" s="600"/>
      <c r="B55" s="620" t="s">
        <v>475</v>
      </c>
      <c r="C55" s="1423">
        <f>+'[15]Balance sheet groupings'!C67-'[15]Balance sheet groupings'!C83</f>
        <v>0.31365551400000014</v>
      </c>
      <c r="D55" s="1422">
        <f>+'[15]Balance sheet groupings'!E67-'[15]Balance sheet groupings'!E83</f>
        <v>0.29547968299999994</v>
      </c>
      <c r="E55" s="618">
        <v>0.34313262600000005</v>
      </c>
      <c r="F55" s="613"/>
      <c r="J55" t="s">
        <v>2585</v>
      </c>
      <c r="K55" s="600"/>
      <c r="L55" s="425">
        <v>1576981</v>
      </c>
      <c r="M55" s="425">
        <v>791907</v>
      </c>
      <c r="N55" s="1362">
        <f t="shared" si="0"/>
        <v>7.8507400000000005E-2</v>
      </c>
      <c r="O55" s="619"/>
    </row>
    <row r="56" spans="1:15" ht="15" x14ac:dyDescent="0.25">
      <c r="A56" s="600"/>
      <c r="B56" s="620" t="s">
        <v>490</v>
      </c>
      <c r="C56" s="1423">
        <f>+'[15]Balance sheet groupings'!C68-'[15]Balance sheet groupings'!C84</f>
        <v>0.140523395</v>
      </c>
      <c r="D56" s="1422">
        <f>+'[15]Balance sheet groupings'!E68-'[15]Balance sheet groupings'!E84</f>
        <v>0.13923749499999993</v>
      </c>
      <c r="E56" s="618">
        <v>0.44549452099999964</v>
      </c>
      <c r="F56" s="613"/>
      <c r="J56" t="s">
        <v>2586</v>
      </c>
      <c r="K56" s="600"/>
      <c r="L56" s="425">
        <v>10881684.710000001</v>
      </c>
      <c r="M56" s="425">
        <v>9548242.5500000007</v>
      </c>
      <c r="N56" s="1362">
        <f t="shared" si="0"/>
        <v>0.13334421600000002</v>
      </c>
      <c r="O56" s="619"/>
    </row>
    <row r="57" spans="1:15" ht="15" x14ac:dyDescent="0.25">
      <c r="A57" s="600"/>
      <c r="B57" s="620" t="s">
        <v>491</v>
      </c>
      <c r="C57" s="1423">
        <f>+'[15]Balance sheet groupings'!C69-'[15]Balance sheet groupings'!C85</f>
        <v>0.45699657599999988</v>
      </c>
      <c r="D57" s="1422">
        <f>+'[15]Balance sheet groupings'!E69-'[15]Balance sheet groupings'!E85</f>
        <v>0.43519071600000014</v>
      </c>
      <c r="E57" s="618">
        <v>0.98913453299999965</v>
      </c>
      <c r="F57" s="613"/>
      <c r="J57" t="s">
        <v>2587</v>
      </c>
      <c r="K57" s="600"/>
      <c r="L57" s="425">
        <v>486051</v>
      </c>
      <c r="M57" s="425">
        <v>486051</v>
      </c>
      <c r="N57" s="1362">
        <f t="shared" si="0"/>
        <v>0</v>
      </c>
      <c r="O57" s="619"/>
    </row>
    <row r="58" spans="1:15" ht="15" x14ac:dyDescent="0.25">
      <c r="A58" s="600"/>
      <c r="B58" s="620" t="s">
        <v>2588</v>
      </c>
      <c r="C58" s="1424">
        <f>+'[15]Balance sheet groupings'!C70-'[15]Balance sheet groupings'!C86</f>
        <v>4.4461520000000032E-2</v>
      </c>
      <c r="D58" s="1422">
        <f>+'[15]Balance sheet groupings'!E70-'[15]Balance sheet groupings'!E86</f>
        <v>4.4461520000000032E-2</v>
      </c>
      <c r="E58" s="618">
        <v>6.6403979999999974E-2</v>
      </c>
      <c r="F58" s="613"/>
      <c r="J58" t="s">
        <v>2589</v>
      </c>
      <c r="K58" s="600"/>
      <c r="L58" s="425">
        <v>425328</v>
      </c>
      <c r="M58" s="425">
        <v>425328</v>
      </c>
      <c r="N58" s="1362">
        <f t="shared" si="0"/>
        <v>0</v>
      </c>
      <c r="O58" s="619"/>
    </row>
    <row r="59" spans="1:15" ht="15" x14ac:dyDescent="0.25">
      <c r="A59" s="600"/>
      <c r="B59" s="621" t="s">
        <v>2590</v>
      </c>
      <c r="C59" s="1425">
        <f>-'[15]Balance sheet groupings'!C88</f>
        <v>-22.086150316999998</v>
      </c>
      <c r="D59" s="1422">
        <f>-'[15]Balance sheet groupings'!E88</f>
        <v>-20.549772566999998</v>
      </c>
      <c r="E59" s="618">
        <v>21.174538409</v>
      </c>
      <c r="F59" s="613"/>
      <c r="J59" t="s">
        <v>2591</v>
      </c>
      <c r="K59" s="600"/>
      <c r="L59" s="425">
        <v>596613</v>
      </c>
      <c r="M59" s="425">
        <v>596613</v>
      </c>
      <c r="N59" s="1362">
        <f t="shared" si="0"/>
        <v>0</v>
      </c>
      <c r="O59" s="619"/>
    </row>
    <row r="60" spans="1:15" ht="15" x14ac:dyDescent="0.25">
      <c r="A60" s="600"/>
      <c r="B60" s="622" t="s">
        <v>92</v>
      </c>
      <c r="C60" s="1426">
        <f>SUM(C50:C59)</f>
        <v>119.54817991199999</v>
      </c>
      <c r="D60" s="1427">
        <f>SUM(D50:D59)</f>
        <v>121.03762497100001</v>
      </c>
      <c r="E60" s="623">
        <f>SUM(E50:E58)-E59</f>
        <v>225.82640861699991</v>
      </c>
      <c r="F60" s="624"/>
      <c r="G60" s="601"/>
      <c r="J60" t="s">
        <v>2592</v>
      </c>
      <c r="K60" s="600"/>
      <c r="L60">
        <v>0</v>
      </c>
      <c r="M60">
        <v>0</v>
      </c>
      <c r="N60" s="1362">
        <f t="shared" si="0"/>
        <v>0</v>
      </c>
      <c r="O60" s="625"/>
    </row>
    <row r="61" spans="1:15" ht="75.75" customHeight="1" x14ac:dyDescent="0.25">
      <c r="A61" s="600"/>
      <c r="B61" s="1799" t="s">
        <v>2593</v>
      </c>
      <c r="C61" s="1799"/>
      <c r="D61" s="1799"/>
      <c r="E61" s="1800"/>
      <c r="J61" t="s">
        <v>2594</v>
      </c>
      <c r="K61" s="600"/>
      <c r="L61" s="425">
        <v>791808.01</v>
      </c>
      <c r="M61" s="425"/>
      <c r="N61" s="564">
        <f t="shared" si="0"/>
        <v>7.9180800999999995E-2</v>
      </c>
      <c r="O61" s="626"/>
    </row>
    <row r="62" spans="1:15" ht="15" x14ac:dyDescent="0.25">
      <c r="A62" s="600"/>
      <c r="J62" t="s">
        <v>2595</v>
      </c>
      <c r="L62" s="425">
        <v>686897</v>
      </c>
      <c r="M62" s="425">
        <v>686897</v>
      </c>
      <c r="N62" s="564">
        <f t="shared" si="0"/>
        <v>0</v>
      </c>
    </row>
    <row r="63" spans="1:15" ht="15" x14ac:dyDescent="0.25">
      <c r="A63" s="600"/>
      <c r="J63" t="s">
        <v>2596</v>
      </c>
      <c r="L63" s="425">
        <v>9665</v>
      </c>
      <c r="M63" s="425">
        <v>9665</v>
      </c>
      <c r="N63" s="564">
        <f t="shared" si="0"/>
        <v>0</v>
      </c>
    </row>
    <row r="64" spans="1:15" ht="15" x14ac:dyDescent="0.25">
      <c r="A64" s="600"/>
    </row>
    <row r="65" spans="1:1" ht="15" x14ac:dyDescent="0.25">
      <c r="A65" s="600"/>
    </row>
    <row r="66" spans="1:1" ht="15" x14ac:dyDescent="0.25">
      <c r="A66" s="600"/>
    </row>
    <row r="67" spans="1:1" ht="15" x14ac:dyDescent="0.25">
      <c r="A67" s="600"/>
    </row>
    <row r="68" spans="1:1" ht="15" x14ac:dyDescent="0.25">
      <c r="A68" s="600"/>
    </row>
    <row r="69" spans="1:1" ht="15" x14ac:dyDescent="0.25">
      <c r="A69" s="600"/>
    </row>
    <row r="70" spans="1:1" ht="15" x14ac:dyDescent="0.25">
      <c r="A70" s="600"/>
    </row>
    <row r="71" spans="1:1" ht="15" x14ac:dyDescent="0.25">
      <c r="A71" s="600"/>
    </row>
    <row r="72" spans="1:1" ht="15" x14ac:dyDescent="0.25">
      <c r="A72" s="600"/>
    </row>
    <row r="73" spans="1:1" ht="15" x14ac:dyDescent="0.25">
      <c r="A73" s="600"/>
    </row>
    <row r="74" spans="1:1" ht="15" x14ac:dyDescent="0.25">
      <c r="A74" s="600"/>
    </row>
    <row r="75" spans="1:1" ht="15" x14ac:dyDescent="0.25">
      <c r="A75" s="600"/>
    </row>
    <row r="76" spans="1:1" ht="15" x14ac:dyDescent="0.25">
      <c r="A76" s="600"/>
    </row>
    <row r="77" spans="1:1" ht="15" x14ac:dyDescent="0.25">
      <c r="A77" s="600"/>
    </row>
    <row r="78" spans="1:1" ht="15" x14ac:dyDescent="0.25">
      <c r="A78" s="600"/>
    </row>
    <row r="79" spans="1:1" ht="15" x14ac:dyDescent="0.25">
      <c r="A79" s="600"/>
    </row>
    <row r="80" spans="1:1" ht="15" x14ac:dyDescent="0.25">
      <c r="A80" s="600"/>
    </row>
    <row r="81" spans="1:1" ht="15" x14ac:dyDescent="0.25">
      <c r="A81" s="600"/>
    </row>
    <row r="82" spans="1:1" ht="15" x14ac:dyDescent="0.25">
      <c r="A82" s="600"/>
    </row>
    <row r="83" spans="1:1" ht="15" x14ac:dyDescent="0.25">
      <c r="A83" s="600"/>
    </row>
    <row r="84" spans="1:1" ht="15" x14ac:dyDescent="0.25">
      <c r="A84" s="600"/>
    </row>
    <row r="85" spans="1:1" ht="15" x14ac:dyDescent="0.25">
      <c r="A85" s="600"/>
    </row>
  </sheetData>
  <mergeCells count="1">
    <mergeCell ref="B61:E6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6"/>
  <sheetViews>
    <sheetView workbookViewId="0">
      <selection activeCell="C23" sqref="C23"/>
    </sheetView>
  </sheetViews>
  <sheetFormatPr defaultColWidth="16.85546875" defaultRowHeight="12.75" x14ac:dyDescent="0.2"/>
  <cols>
    <col min="1" max="1" width="26.5703125" customWidth="1"/>
    <col min="2" max="2" width="12.42578125" customWidth="1"/>
    <col min="3" max="3" width="19.7109375" customWidth="1"/>
    <col min="4" max="4" width="16.42578125" bestFit="1" customWidth="1"/>
    <col min="5" max="5" width="12.42578125" customWidth="1"/>
    <col min="6" max="6" width="21.140625" customWidth="1"/>
    <col min="7" max="10" width="12.42578125" customWidth="1"/>
    <col min="11" max="12" width="12.42578125" hidden="1" customWidth="1"/>
    <col min="13" max="14" width="12.42578125" customWidth="1"/>
    <col min="15" max="15" width="2" customWidth="1"/>
    <col min="16" max="16" width="11.7109375" customWidth="1"/>
    <col min="17" max="18" width="0" hidden="1" customWidth="1"/>
    <col min="20" max="20" width="17.140625" bestFit="1" customWidth="1"/>
  </cols>
  <sheetData>
    <row r="2" spans="1:18" ht="15" x14ac:dyDescent="0.25">
      <c r="A2" s="1428" t="s">
        <v>2597</v>
      </c>
      <c r="B2" s="1428" t="s">
        <v>2598</v>
      </c>
    </row>
    <row r="3" spans="1:18" x14ac:dyDescent="0.2">
      <c r="P3" s="1429" t="s">
        <v>832</v>
      </c>
    </row>
    <row r="4" spans="1:18" s="631" customFormat="1" hidden="1" x14ac:dyDescent="0.2">
      <c r="A4" s="627"/>
      <c r="B4" s="628" t="s">
        <v>2106</v>
      </c>
      <c r="C4" s="629">
        <v>14101</v>
      </c>
      <c r="D4" s="629"/>
      <c r="E4" s="629">
        <v>14201</v>
      </c>
      <c r="F4" s="629">
        <v>14202</v>
      </c>
      <c r="G4" s="629"/>
      <c r="H4" s="629"/>
      <c r="I4" s="629">
        <v>14402</v>
      </c>
      <c r="J4" s="629">
        <v>14501</v>
      </c>
      <c r="K4" s="629"/>
      <c r="L4" s="629">
        <v>14701</v>
      </c>
      <c r="M4" s="629">
        <v>14801</v>
      </c>
      <c r="N4" s="629">
        <v>14901</v>
      </c>
      <c r="O4"/>
      <c r="P4" s="629">
        <v>14961</v>
      </c>
      <c r="Q4" s="630"/>
      <c r="R4" s="630"/>
    </row>
    <row r="5" spans="1:18" s="636" customFormat="1" ht="38.25" x14ac:dyDescent="0.2">
      <c r="A5" s="632"/>
      <c r="B5" s="633" t="s">
        <v>2599</v>
      </c>
      <c r="C5" s="633" t="s">
        <v>2600</v>
      </c>
      <c r="D5" s="633" t="s">
        <v>2601</v>
      </c>
      <c r="E5" s="633" t="s">
        <v>2602</v>
      </c>
      <c r="F5" s="633" t="s">
        <v>486</v>
      </c>
      <c r="G5" s="633" t="s">
        <v>2603</v>
      </c>
      <c r="H5" s="633" t="s">
        <v>2604</v>
      </c>
      <c r="I5" s="633" t="s">
        <v>488</v>
      </c>
      <c r="J5" s="633" t="s">
        <v>2605</v>
      </c>
      <c r="K5" s="633" t="s">
        <v>2606</v>
      </c>
      <c r="L5" s="633" t="s">
        <v>475</v>
      </c>
      <c r="M5" s="633" t="s">
        <v>2607</v>
      </c>
      <c r="N5" s="633" t="s">
        <v>2608</v>
      </c>
      <c r="O5" s="341"/>
      <c r="P5" s="633" t="s">
        <v>2609</v>
      </c>
      <c r="Q5" s="634" t="s">
        <v>2610</v>
      </c>
      <c r="R5" s="635" t="s">
        <v>92</v>
      </c>
    </row>
    <row r="6" spans="1:18" s="636" customFormat="1" ht="15" hidden="1" x14ac:dyDescent="0.2">
      <c r="A6" s="632"/>
      <c r="B6" s="637"/>
      <c r="C6" s="635"/>
      <c r="D6" s="635"/>
      <c r="E6" s="635"/>
      <c r="F6" s="635"/>
      <c r="G6" s="635"/>
      <c r="H6" s="635"/>
      <c r="I6" s="635"/>
      <c r="J6" s="635"/>
      <c r="K6" s="635"/>
      <c r="L6" s="635"/>
      <c r="M6" s="635"/>
      <c r="N6" s="635"/>
      <c r="O6" s="343"/>
      <c r="P6" s="635"/>
      <c r="Q6" s="634"/>
      <c r="R6" s="635"/>
    </row>
    <row r="7" spans="1:18" s="431" customFormat="1" ht="15" hidden="1" x14ac:dyDescent="0.2">
      <c r="A7" s="478" t="s">
        <v>2611</v>
      </c>
      <c r="B7" s="638">
        <f>SUM(C7:P7)</f>
        <v>21829.629718000997</v>
      </c>
      <c r="C7" s="639">
        <v>5.3534222999999999E-2</v>
      </c>
      <c r="D7" s="639"/>
      <c r="E7" s="639">
        <v>2662.4212238560003</v>
      </c>
      <c r="F7" s="639">
        <v>10.213441107</v>
      </c>
      <c r="G7" s="639"/>
      <c r="H7" s="639"/>
      <c r="I7" s="639">
        <v>0</v>
      </c>
      <c r="J7" s="639">
        <v>19156.937018695</v>
      </c>
      <c r="K7" s="639"/>
      <c r="L7" s="639">
        <v>0</v>
      </c>
      <c r="M7" s="639">
        <v>4.4999999999999997E-3</v>
      </c>
      <c r="N7" s="639">
        <v>1.1999999999999999E-7</v>
      </c>
      <c r="O7" s="343"/>
      <c r="P7" s="639">
        <v>0</v>
      </c>
      <c r="Q7" s="640"/>
      <c r="R7" s="478"/>
    </row>
    <row r="8" spans="1:18" s="431" customFormat="1" ht="15" hidden="1" x14ac:dyDescent="0.2">
      <c r="A8" s="478" t="s">
        <v>249</v>
      </c>
      <c r="B8" s="638">
        <f>SUM(C8:P8)</f>
        <v>20675.901029074001</v>
      </c>
      <c r="C8" s="639">
        <v>21.242948481999999</v>
      </c>
      <c r="D8" s="639"/>
      <c r="E8" s="639">
        <v>2847.9849417300002</v>
      </c>
      <c r="F8" s="639">
        <v>11.001925354999999</v>
      </c>
      <c r="G8" s="639"/>
      <c r="H8" s="639"/>
      <c r="I8" s="639">
        <v>0</v>
      </c>
      <c r="J8" s="639">
        <v>17779.159497953999</v>
      </c>
      <c r="K8" s="639"/>
      <c r="L8" s="639">
        <v>3.419116893</v>
      </c>
      <c r="M8" s="639">
        <v>2.8012499999999999E-2</v>
      </c>
      <c r="N8" s="639">
        <v>12.968779012000001</v>
      </c>
      <c r="O8" s="343"/>
      <c r="P8" s="639">
        <v>9.5807147999999995E-2</v>
      </c>
      <c r="Q8" s="640"/>
      <c r="R8" s="478"/>
    </row>
    <row r="9" spans="1:18" s="431" customFormat="1" ht="15" hidden="1" x14ac:dyDescent="0.2">
      <c r="A9" s="478" t="s">
        <v>2612</v>
      </c>
      <c r="B9" s="638">
        <f>SUM(C9:P9)</f>
        <v>21922.614723667</v>
      </c>
      <c r="C9" s="639">
        <v>11.310779999999999</v>
      </c>
      <c r="D9" s="639"/>
      <c r="E9" s="639">
        <v>1943.9761831990002</v>
      </c>
      <c r="F9" s="639">
        <v>2.8823529130000001</v>
      </c>
      <c r="G9" s="639"/>
      <c r="H9" s="639"/>
      <c r="I9" s="639">
        <v>0</v>
      </c>
      <c r="J9" s="639">
        <v>19952.712612326999</v>
      </c>
      <c r="K9" s="639"/>
      <c r="L9" s="639">
        <v>3.4114353659999996</v>
      </c>
      <c r="M9" s="639">
        <v>3.25125E-2</v>
      </c>
      <c r="N9" s="639">
        <v>8.1930402139999998</v>
      </c>
      <c r="O9" s="343"/>
      <c r="P9" s="639">
        <v>9.5807147999999995E-2</v>
      </c>
      <c r="Q9" s="640"/>
      <c r="R9" s="478"/>
    </row>
    <row r="10" spans="1:18" s="431" customFormat="1" ht="15" hidden="1" x14ac:dyDescent="0.2">
      <c r="A10" s="478" t="s">
        <v>2613</v>
      </c>
      <c r="B10" s="638">
        <f>SUM(C10:P10)</f>
        <v>20582.916023408001</v>
      </c>
      <c r="C10" s="639">
        <f t="shared" ref="C10:N10" si="0">C7+C8-C9</f>
        <v>9.9857027049999996</v>
      </c>
      <c r="D10" s="639"/>
      <c r="E10" s="639">
        <f t="shared" si="0"/>
        <v>3566.4299823870006</v>
      </c>
      <c r="F10" s="639">
        <f t="shared" si="0"/>
        <v>18.333013549</v>
      </c>
      <c r="G10" s="639"/>
      <c r="H10" s="639"/>
      <c r="I10" s="639">
        <f t="shared" si="0"/>
        <v>0</v>
      </c>
      <c r="J10" s="639">
        <f t="shared" si="0"/>
        <v>16983.383904322</v>
      </c>
      <c r="K10" s="639"/>
      <c r="L10" s="639">
        <f t="shared" si="0"/>
        <v>7.6815270000003544E-3</v>
      </c>
      <c r="M10" s="639">
        <f t="shared" si="0"/>
        <v>0</v>
      </c>
      <c r="N10" s="639">
        <f t="shared" si="0"/>
        <v>4.7757389180000001</v>
      </c>
      <c r="O10" s="343"/>
      <c r="P10" s="639">
        <f>P7+P8-P9</f>
        <v>0</v>
      </c>
      <c r="Q10" s="640"/>
      <c r="R10" s="478"/>
    </row>
    <row r="11" spans="1:18" s="431" customFormat="1" ht="15" x14ac:dyDescent="0.2">
      <c r="A11" s="478"/>
      <c r="B11" s="641"/>
      <c r="C11" s="642"/>
      <c r="D11" s="642"/>
      <c r="E11" s="642"/>
      <c r="F11" s="642"/>
      <c r="G11" s="642"/>
      <c r="H11" s="642"/>
      <c r="I11" s="642"/>
      <c r="J11" s="642"/>
      <c r="K11" s="642"/>
      <c r="L11" s="642"/>
      <c r="M11" s="642"/>
      <c r="N11" s="642"/>
      <c r="O11" s="324"/>
      <c r="P11" s="642"/>
      <c r="Q11" s="640"/>
      <c r="R11" s="478"/>
    </row>
    <row r="12" spans="1:18" s="431" customFormat="1" ht="15.75" customHeight="1" x14ac:dyDescent="0.2">
      <c r="A12" s="486" t="str">
        <f>'[15]Statement of changes in equity'!$A$5</f>
        <v>As on 31.03.2021</v>
      </c>
      <c r="B12" s="1430">
        <f t="shared" ref="B12:B18" si="1">SUM(C12:N12)</f>
        <v>3732.0501445169989</v>
      </c>
      <c r="C12" s="1209">
        <v>1.0268333459999983</v>
      </c>
      <c r="D12" s="1209">
        <v>0</v>
      </c>
      <c r="E12" s="1209">
        <v>1272.7637734100008</v>
      </c>
      <c r="F12" s="1209">
        <v>27.423585306999996</v>
      </c>
      <c r="G12" s="1209">
        <v>14.091436070000002</v>
      </c>
      <c r="H12" s="1209">
        <v>1.9760687140000002</v>
      </c>
      <c r="I12" s="1209">
        <v>43.868867058999996</v>
      </c>
      <c r="J12" s="1209">
        <v>2367.1182212999979</v>
      </c>
      <c r="K12" s="1209">
        <v>0</v>
      </c>
      <c r="L12" s="1209">
        <v>5.2600000042514037E-7</v>
      </c>
      <c r="M12" s="1209">
        <v>0.40229530400000035</v>
      </c>
      <c r="N12" s="1209">
        <v>3.3790634810000038</v>
      </c>
      <c r="O12" s="1052"/>
      <c r="P12" s="1209">
        <v>239.68228982100001</v>
      </c>
      <c r="Q12" s="640"/>
      <c r="R12" s="478"/>
    </row>
    <row r="13" spans="1:18" s="431" customFormat="1" ht="15.75" customHeight="1" x14ac:dyDescent="0.2">
      <c r="A13" s="478" t="s">
        <v>249</v>
      </c>
      <c r="B13" s="1431">
        <f t="shared" si="1"/>
        <v>1715.352414509</v>
      </c>
      <c r="C13" s="1209">
        <v>0</v>
      </c>
      <c r="D13" s="1209"/>
      <c r="E13" s="1209">
        <v>276.24537029599998</v>
      </c>
      <c r="F13" s="1209">
        <v>7.8761993209999996</v>
      </c>
      <c r="G13" s="1209">
        <v>0.99034164399999991</v>
      </c>
      <c r="H13" s="1209"/>
      <c r="I13" s="1209">
        <v>15.448922285</v>
      </c>
      <c r="J13" s="1209">
        <v>1414.3301479380002</v>
      </c>
      <c r="K13" s="1209"/>
      <c r="L13" s="1209">
        <v>0</v>
      </c>
      <c r="M13" s="1209">
        <v>0</v>
      </c>
      <c r="N13" s="1209">
        <v>0.461433025</v>
      </c>
      <c r="O13" s="1052"/>
      <c r="P13" s="1209">
        <v>138.38564738599999</v>
      </c>
      <c r="Q13" s="640"/>
      <c r="R13" s="478"/>
    </row>
    <row r="14" spans="1:18" s="431" customFormat="1" ht="15.75" customHeight="1" x14ac:dyDescent="0.2">
      <c r="A14" s="478" t="s">
        <v>2612</v>
      </c>
      <c r="B14" s="1431">
        <f t="shared" si="1"/>
        <v>673.19300649399997</v>
      </c>
      <c r="C14" s="1209">
        <v>0</v>
      </c>
      <c r="D14" s="1209"/>
      <c r="E14" s="1209">
        <v>190.21505552100001</v>
      </c>
      <c r="F14" s="1209">
        <v>1.3390768609999999</v>
      </c>
      <c r="G14" s="1209">
        <v>14.091436069999999</v>
      </c>
      <c r="H14" s="1209"/>
      <c r="I14" s="1209">
        <v>21.522991436000002</v>
      </c>
      <c r="J14" s="1209">
        <v>442.24437397299994</v>
      </c>
      <c r="K14" s="1209"/>
      <c r="L14" s="1209">
        <v>0</v>
      </c>
      <c r="M14" s="1209">
        <v>0.40101014600000001</v>
      </c>
      <c r="N14" s="1209">
        <v>3.3790624869999997</v>
      </c>
      <c r="O14" s="1052"/>
      <c r="P14" s="1209">
        <v>0</v>
      </c>
      <c r="Q14" s="640"/>
      <c r="R14" s="478"/>
    </row>
    <row r="15" spans="1:18" s="430" customFormat="1" ht="15.75" customHeight="1" x14ac:dyDescent="0.2">
      <c r="A15" s="486" t="str">
        <f>'[15]Statement of changes in equity'!$A$9</f>
        <v>As at 31.03.2022</v>
      </c>
      <c r="B15" s="1430">
        <f t="shared" si="1"/>
        <v>4774.2095525319992</v>
      </c>
      <c r="C15" s="1300">
        <f t="shared" ref="C15:N15" si="2">C12+C13-C14</f>
        <v>1.0268333459999983</v>
      </c>
      <c r="D15" s="1300">
        <f t="shared" si="2"/>
        <v>0</v>
      </c>
      <c r="E15" s="1300">
        <f t="shared" si="2"/>
        <v>1358.7940881850006</v>
      </c>
      <c r="F15" s="1300">
        <f t="shared" si="2"/>
        <v>33.960707766999995</v>
      </c>
      <c r="G15" s="1300">
        <f t="shared" si="2"/>
        <v>0.99034164400000257</v>
      </c>
      <c r="H15" s="1300">
        <f t="shared" si="2"/>
        <v>1.9760687140000002</v>
      </c>
      <c r="I15" s="1300">
        <f t="shared" si="2"/>
        <v>37.794797907999993</v>
      </c>
      <c r="J15" s="1300">
        <f t="shared" si="2"/>
        <v>3339.2039952649984</v>
      </c>
      <c r="K15" s="1300">
        <f t="shared" si="2"/>
        <v>0</v>
      </c>
      <c r="L15" s="1300">
        <f t="shared" si="2"/>
        <v>5.2600000042514037E-7</v>
      </c>
      <c r="M15" s="1300">
        <f t="shared" si="2"/>
        <v>1.2851580000003415E-3</v>
      </c>
      <c r="N15" s="1300">
        <f t="shared" si="2"/>
        <v>0.46143401900000391</v>
      </c>
      <c r="O15" s="1052"/>
      <c r="P15" s="1300">
        <f>P12+P13-P14</f>
        <v>378.067937207</v>
      </c>
      <c r="Q15" s="527">
        <v>24.011709239999998</v>
      </c>
      <c r="R15" s="643">
        <f>+B15-Q15</f>
        <v>4750.1978432919996</v>
      </c>
    </row>
    <row r="16" spans="1:18" s="431" customFormat="1" ht="15.75" customHeight="1" x14ac:dyDescent="0.2">
      <c r="A16" s="478" t="s">
        <v>249</v>
      </c>
      <c r="B16" s="1431">
        <f t="shared" si="1"/>
        <v>1475.9167142729998</v>
      </c>
      <c r="C16" s="1209"/>
      <c r="D16" s="1209"/>
      <c r="E16" s="1209">
        <f>(C37)/10000000</f>
        <v>251.13428425500001</v>
      </c>
      <c r="F16" s="1209">
        <f>(C38)/10000000</f>
        <v>2.036730704</v>
      </c>
      <c r="G16" s="1209">
        <f>C39/10^7</f>
        <v>-1.5901999999999999E-3</v>
      </c>
      <c r="H16" s="1209"/>
      <c r="I16" s="1209">
        <f>(C40+C41)/10000000</f>
        <v>12.822270904</v>
      </c>
      <c r="J16" s="1209">
        <f>(C42+C34)/10000000</f>
        <v>1209.5379324369999</v>
      </c>
      <c r="K16" s="1209"/>
      <c r="L16" s="1209">
        <f>(C45)/10000000</f>
        <v>0</v>
      </c>
      <c r="M16" s="1209">
        <f>(C46)/10000000</f>
        <v>-9.6504999999999996E-4</v>
      </c>
      <c r="N16" s="1209">
        <f>(C47)/10000000</f>
        <v>0.388051223</v>
      </c>
      <c r="O16" s="1052"/>
      <c r="P16" s="1209">
        <f>(C48)/10000000</f>
        <v>196.09392381400002</v>
      </c>
      <c r="Q16" s="640"/>
      <c r="R16" s="478"/>
    </row>
    <row r="17" spans="1:18" s="431" customFormat="1" ht="15.75" customHeight="1" x14ac:dyDescent="0.2">
      <c r="A17" s="478" t="s">
        <v>2612</v>
      </c>
      <c r="B17" s="1431">
        <f t="shared" si="1"/>
        <v>390.35325996199998</v>
      </c>
      <c r="C17" s="1209">
        <f>((D35+D36)/10000000)*-1+0.062110446</f>
        <v>1.0268333460000001</v>
      </c>
      <c r="D17" s="1209"/>
      <c r="E17" s="1209">
        <f>((D37)/10000000)*-1</f>
        <v>39.747238364999994</v>
      </c>
      <c r="F17" s="1209">
        <f>((D38)/10000000)*-1</f>
        <v>3.5749274939999998</v>
      </c>
      <c r="G17" s="1209">
        <f>-D39/10^7</f>
        <v>0.98875144399999992</v>
      </c>
      <c r="H17" s="1209"/>
      <c r="I17" s="1209">
        <f>((D40+D41)/10000000)*-1</f>
        <v>28.559565008999996</v>
      </c>
      <c r="J17" s="1209">
        <f>((D34+D42)/10000000)*-1</f>
        <v>316.445124292</v>
      </c>
      <c r="K17" s="1209"/>
      <c r="L17" s="1209">
        <f>((D45)/10000000)*-1</f>
        <v>0</v>
      </c>
      <c r="M17" s="1209">
        <f>((D46)/10000000)*-1</f>
        <v>3.2001799999999998E-4</v>
      </c>
      <c r="N17" s="1209">
        <f>((D47)/10000000)*-1</f>
        <v>1.0499994E-2</v>
      </c>
      <c r="O17" s="1052"/>
      <c r="P17" s="1209">
        <f>((D48)/10000000)*-1</f>
        <v>0</v>
      </c>
      <c r="Q17" s="640"/>
      <c r="R17" s="478"/>
    </row>
    <row r="18" spans="1:18" s="430" customFormat="1" ht="15.75" customHeight="1" x14ac:dyDescent="0.2">
      <c r="A18" s="486" t="str">
        <f>'[15]Statement of changes in equity'!$A$11</f>
        <v>As at 31.03.2023</v>
      </c>
      <c r="B18" s="1430">
        <f t="shared" si="1"/>
        <v>5859.7730068429983</v>
      </c>
      <c r="C18" s="1300">
        <f t="shared" ref="C18:N18" si="3">C15+C16-C17</f>
        <v>-1.7763568394002505E-15</v>
      </c>
      <c r="D18" s="1300">
        <f t="shared" si="3"/>
        <v>0</v>
      </c>
      <c r="E18" s="1300">
        <f t="shared" si="3"/>
        <v>1570.1811340750007</v>
      </c>
      <c r="F18" s="1300">
        <f t="shared" si="3"/>
        <v>32.422510976999995</v>
      </c>
      <c r="G18" s="1300">
        <f t="shared" si="3"/>
        <v>2.6645352591003757E-15</v>
      </c>
      <c r="H18" s="1300">
        <f t="shared" si="3"/>
        <v>1.9760687140000002</v>
      </c>
      <c r="I18" s="1300">
        <f t="shared" si="3"/>
        <v>22.057503802999996</v>
      </c>
      <c r="J18" s="1300">
        <f t="shared" si="3"/>
        <v>4232.2968034099977</v>
      </c>
      <c r="K18" s="1300">
        <f t="shared" si="3"/>
        <v>0</v>
      </c>
      <c r="L18" s="1300">
        <f t="shared" si="3"/>
        <v>5.2600000042514037E-7</v>
      </c>
      <c r="M18" s="1300">
        <f t="shared" si="3"/>
        <v>9.0000000341585503E-8</v>
      </c>
      <c r="N18" s="1300">
        <f t="shared" si="3"/>
        <v>0.83898524800000385</v>
      </c>
      <c r="O18" s="1052"/>
      <c r="P18" s="1300">
        <f>P15+P16-P17</f>
        <v>574.16186102100005</v>
      </c>
      <c r="Q18" s="527">
        <v>24.011709239999998</v>
      </c>
      <c r="R18" s="643">
        <f>+B18-Q18</f>
        <v>5835.7612976029986</v>
      </c>
    </row>
    <row r="19" spans="1:18" s="430" customFormat="1" ht="15.75" customHeight="1" x14ac:dyDescent="0.2">
      <c r="A19" s="486" t="s">
        <v>2614</v>
      </c>
      <c r="B19" s="1430"/>
      <c r="C19" s="1300"/>
      <c r="D19" s="1300"/>
      <c r="E19" s="1300"/>
      <c r="F19" s="1300"/>
      <c r="G19" s="1300"/>
      <c r="H19" s="1300"/>
      <c r="I19" s="1300"/>
      <c r="J19" s="1300"/>
      <c r="K19" s="1300"/>
      <c r="L19" s="1300"/>
      <c r="M19" s="1300"/>
      <c r="N19" s="1300"/>
      <c r="O19" s="1052"/>
      <c r="P19" s="1300"/>
      <c r="R19" s="644"/>
    </row>
    <row r="20" spans="1:18" s="430" customFormat="1" ht="25.5" x14ac:dyDescent="0.2">
      <c r="A20" s="632" t="s">
        <v>2615</v>
      </c>
      <c r="B20" s="1431">
        <f>SUM(C20:N20)</f>
        <v>55.355291539</v>
      </c>
      <c r="C20" s="1300"/>
      <c r="D20" s="1300"/>
      <c r="E20" s="1300"/>
      <c r="F20" s="1300"/>
      <c r="G20" s="1300"/>
      <c r="H20" s="1300"/>
      <c r="I20" s="1300"/>
      <c r="J20" s="1300">
        <v>55.355291539</v>
      </c>
      <c r="K20" s="1300"/>
      <c r="L20" s="1300"/>
      <c r="M20" s="1300"/>
      <c r="N20" s="1300"/>
      <c r="O20" s="1052"/>
      <c r="P20" s="1300"/>
      <c r="R20" s="644"/>
    </row>
    <row r="21" spans="1:18" s="430" customFormat="1" ht="15.75" customHeight="1" x14ac:dyDescent="0.2">
      <c r="A21" s="486" t="str">
        <f>'[15]Statement of changes in equity'!$A$5</f>
        <v>As on 31.03.2021</v>
      </c>
      <c r="B21" s="1430">
        <f>B12-B20</f>
        <v>3676.6948529779988</v>
      </c>
      <c r="C21" s="1430">
        <f t="shared" ref="C21:N21" si="4">C12-C20</f>
        <v>1.0268333459999983</v>
      </c>
      <c r="D21" s="1430">
        <f t="shared" si="4"/>
        <v>0</v>
      </c>
      <c r="E21" s="1430">
        <f t="shared" si="4"/>
        <v>1272.7637734100008</v>
      </c>
      <c r="F21" s="1430">
        <f t="shared" si="4"/>
        <v>27.423585306999996</v>
      </c>
      <c r="G21" s="1430">
        <f t="shared" si="4"/>
        <v>14.091436070000002</v>
      </c>
      <c r="H21" s="1430">
        <f t="shared" si="4"/>
        <v>1.9760687140000002</v>
      </c>
      <c r="I21" s="1430">
        <f t="shared" si="4"/>
        <v>43.868867058999996</v>
      </c>
      <c r="J21" s="1430">
        <f t="shared" si="4"/>
        <v>2311.7629297609978</v>
      </c>
      <c r="K21" s="1430">
        <f t="shared" si="4"/>
        <v>0</v>
      </c>
      <c r="L21" s="1430">
        <f t="shared" si="4"/>
        <v>5.2600000042514037E-7</v>
      </c>
      <c r="M21" s="1430">
        <f t="shared" si="4"/>
        <v>0.40229530400000035</v>
      </c>
      <c r="N21" s="1430">
        <f t="shared" si="4"/>
        <v>3.3790634810000038</v>
      </c>
      <c r="O21" s="1052"/>
      <c r="P21" s="1430">
        <f>P12-P20</f>
        <v>239.68228982100001</v>
      </c>
      <c r="R21" s="644"/>
    </row>
    <row r="22" spans="1:18" s="430" customFormat="1" ht="25.5" x14ac:dyDescent="0.2">
      <c r="A22" s="632" t="s">
        <v>2615</v>
      </c>
      <c r="B22" s="1431">
        <f>SUM(C22:N22)</f>
        <v>70.701254707000004</v>
      </c>
      <c r="C22" s="1300"/>
      <c r="D22" s="1300"/>
      <c r="E22" s="1300"/>
      <c r="F22" s="1300"/>
      <c r="G22" s="1300"/>
      <c r="H22" s="1300"/>
      <c r="I22" s="1300"/>
      <c r="J22" s="1300">
        <v>70.701254707000004</v>
      </c>
      <c r="K22" s="1300"/>
      <c r="L22" s="1300"/>
      <c r="M22" s="1300"/>
      <c r="N22" s="1300"/>
      <c r="O22" s="1052"/>
      <c r="P22" s="1300"/>
      <c r="R22" s="644"/>
    </row>
    <row r="23" spans="1:18" s="430" customFormat="1" ht="15.75" customHeight="1" x14ac:dyDescent="0.2">
      <c r="A23" s="486" t="str">
        <f>'[15]Statement of changes in equity'!$A$9</f>
        <v>As at 31.03.2022</v>
      </c>
      <c r="B23" s="1300">
        <f t="shared" ref="B23:N23" si="5">B15-B22</f>
        <v>4703.5082978249993</v>
      </c>
      <c r="C23" s="1300">
        <f t="shared" si="5"/>
        <v>1.0268333459999983</v>
      </c>
      <c r="D23" s="1300">
        <f t="shared" si="5"/>
        <v>0</v>
      </c>
      <c r="E23" s="1300">
        <f t="shared" si="5"/>
        <v>1358.7940881850006</v>
      </c>
      <c r="F23" s="1300">
        <f t="shared" si="5"/>
        <v>33.960707766999995</v>
      </c>
      <c r="G23" s="1300">
        <f t="shared" si="5"/>
        <v>0.99034164400000257</v>
      </c>
      <c r="H23" s="1300">
        <f t="shared" si="5"/>
        <v>1.9760687140000002</v>
      </c>
      <c r="I23" s="1300">
        <f t="shared" si="5"/>
        <v>37.794797907999993</v>
      </c>
      <c r="J23" s="1300">
        <f t="shared" si="5"/>
        <v>3268.5027405579985</v>
      </c>
      <c r="K23" s="1300">
        <f t="shared" si="5"/>
        <v>0</v>
      </c>
      <c r="L23" s="1300">
        <f t="shared" si="5"/>
        <v>5.2600000042514037E-7</v>
      </c>
      <c r="M23" s="1300">
        <f t="shared" si="5"/>
        <v>1.2851580000003415E-3</v>
      </c>
      <c r="N23" s="1300">
        <f t="shared" si="5"/>
        <v>0.46143401900000391</v>
      </c>
      <c r="O23" s="1052"/>
      <c r="P23" s="1300">
        <f>P15-P22</f>
        <v>378.067937207</v>
      </c>
      <c r="R23" s="644"/>
    </row>
    <row r="24" spans="1:18" s="430" customFormat="1" ht="25.5" x14ac:dyDescent="0.2">
      <c r="A24" s="632" t="s">
        <v>2615</v>
      </c>
      <c r="B24" s="1431">
        <f>SUM(C24:N24)</f>
        <v>65.934250626999997</v>
      </c>
      <c r="C24" s="1300"/>
      <c r="D24" s="1300"/>
      <c r="E24" s="1300"/>
      <c r="F24" s="1300"/>
      <c r="G24" s="1300"/>
      <c r="H24" s="1300"/>
      <c r="I24" s="1300"/>
      <c r="J24" s="1300">
        <f>'[15]Input Sheet'!R713</f>
        <v>65.934250626999997</v>
      </c>
      <c r="K24" s="1300"/>
      <c r="L24" s="1300"/>
      <c r="M24" s="1300"/>
      <c r="N24" s="1300"/>
      <c r="O24" s="1052"/>
      <c r="P24" s="1300"/>
      <c r="R24" s="644"/>
    </row>
    <row r="25" spans="1:18" s="430" customFormat="1" ht="15.75" customHeight="1" x14ac:dyDescent="0.2">
      <c r="A25" s="486" t="str">
        <f>'[15]Statement of changes in equity'!$A$11</f>
        <v>As at 31.03.2023</v>
      </c>
      <c r="B25" s="1300">
        <f t="shared" ref="B25:N25" si="6">B18-B24</f>
        <v>5793.8387562159978</v>
      </c>
      <c r="C25" s="1300">
        <f t="shared" si="6"/>
        <v>-1.7763568394002505E-15</v>
      </c>
      <c r="D25" s="1300">
        <f t="shared" si="6"/>
        <v>0</v>
      </c>
      <c r="E25" s="1300">
        <f t="shared" si="6"/>
        <v>1570.1811340750007</v>
      </c>
      <c r="F25" s="1300">
        <f t="shared" si="6"/>
        <v>32.422510976999995</v>
      </c>
      <c r="G25" s="1300">
        <f t="shared" si="6"/>
        <v>2.6645352591003757E-15</v>
      </c>
      <c r="H25" s="1300">
        <f t="shared" si="6"/>
        <v>1.9760687140000002</v>
      </c>
      <c r="I25" s="1300">
        <f t="shared" si="6"/>
        <v>22.057503802999996</v>
      </c>
      <c r="J25" s="1300">
        <f t="shared" si="6"/>
        <v>4166.3625527829972</v>
      </c>
      <c r="K25" s="1300">
        <f t="shared" si="6"/>
        <v>0</v>
      </c>
      <c r="L25" s="1300">
        <f t="shared" si="6"/>
        <v>5.2600000042514037E-7</v>
      </c>
      <c r="M25" s="1300">
        <f t="shared" si="6"/>
        <v>9.0000000341585503E-8</v>
      </c>
      <c r="N25" s="1300">
        <f t="shared" si="6"/>
        <v>0.83898524800000385</v>
      </c>
      <c r="O25" s="1052"/>
      <c r="P25" s="1300">
        <f>P18-P24</f>
        <v>574.16186102100005</v>
      </c>
      <c r="R25" s="644"/>
    </row>
    <row r="26" spans="1:18" x14ac:dyDescent="0.2">
      <c r="B26" s="1432" t="e">
        <f>B18-B27</f>
        <v>#REF!</v>
      </c>
      <c r="C26" s="1432" t="e">
        <f>C18-#REF!</f>
        <v>#REF!</v>
      </c>
      <c r="D26" s="1432"/>
      <c r="E26" s="1432">
        <f>E18-F37</f>
        <v>1570.1811340750007</v>
      </c>
      <c r="P26" s="1433"/>
    </row>
    <row r="27" spans="1:18" x14ac:dyDescent="0.2">
      <c r="B27" s="1432" t="e">
        <f>'[15]balance sheet P&amp;L'!#REF!</f>
        <v>#REF!</v>
      </c>
      <c r="C27" s="293" t="s">
        <v>2616</v>
      </c>
      <c r="D27" s="293"/>
      <c r="E27" s="601"/>
      <c r="F27" s="601"/>
      <c r="G27" s="601"/>
      <c r="H27" s="601"/>
      <c r="I27" s="601"/>
      <c r="J27" s="601"/>
      <c r="K27" s="601"/>
      <c r="L27" s="601"/>
      <c r="M27" s="601"/>
      <c r="N27" s="601"/>
      <c r="O27" s="601"/>
      <c r="P27" s="601"/>
    </row>
    <row r="29" spans="1:18" x14ac:dyDescent="0.2">
      <c r="B29" s="645"/>
      <c r="P29" s="601"/>
    </row>
    <row r="30" spans="1:18" x14ac:dyDescent="0.2">
      <c r="B30" s="1434">
        <f>+B25-'[15]balance sheet P&amp;L'!D7</f>
        <v>2.5899771571857855E-7</v>
      </c>
      <c r="P30" s="646">
        <f>+P25-'[15]balance sheet P&amp;L'!D10</f>
        <v>0</v>
      </c>
    </row>
    <row r="31" spans="1:18" x14ac:dyDescent="0.2">
      <c r="B31" s="645"/>
      <c r="P31" s="601"/>
    </row>
    <row r="32" spans="1:18" x14ac:dyDescent="0.2">
      <c r="B32" s="645"/>
      <c r="C32" t="s">
        <v>2617</v>
      </c>
      <c r="D32" t="s">
        <v>2618</v>
      </c>
      <c r="P32" s="601"/>
    </row>
    <row r="33" spans="1:16" x14ac:dyDescent="0.2">
      <c r="B33" s="645"/>
      <c r="F33" s="425"/>
      <c r="P33" s="601"/>
    </row>
    <row r="34" spans="1:16" x14ac:dyDescent="0.2">
      <c r="A34" s="414">
        <v>14001</v>
      </c>
      <c r="B34" s="321" t="s">
        <v>1092</v>
      </c>
      <c r="C34" s="425">
        <v>44338779.32</v>
      </c>
      <c r="D34" s="425">
        <v>0</v>
      </c>
      <c r="F34" s="425"/>
      <c r="G34" s="367"/>
      <c r="H34" s="367"/>
      <c r="I34" s="425"/>
    </row>
    <row r="35" spans="1:16" x14ac:dyDescent="0.2">
      <c r="A35" s="414">
        <v>14101</v>
      </c>
      <c r="B35" s="321" t="s">
        <v>1093</v>
      </c>
      <c r="C35" s="425">
        <v>-621104.46</v>
      </c>
      <c r="D35" s="425">
        <v>-9647229</v>
      </c>
      <c r="F35" s="425"/>
      <c r="G35" s="367"/>
      <c r="H35" s="367"/>
      <c r="J35" s="425"/>
      <c r="K35" s="425"/>
      <c r="L35" s="425"/>
    </row>
    <row r="36" spans="1:16" x14ac:dyDescent="0.2">
      <c r="A36" s="414">
        <v>14102</v>
      </c>
      <c r="B36" s="321" t="s">
        <v>1094</v>
      </c>
      <c r="C36" s="425"/>
      <c r="D36" s="425"/>
      <c r="F36" s="425"/>
      <c r="G36" s="367"/>
      <c r="H36" s="367"/>
      <c r="I36" s="425"/>
      <c r="J36" s="425"/>
      <c r="K36" s="425"/>
      <c r="L36" s="425"/>
    </row>
    <row r="37" spans="1:16" x14ac:dyDescent="0.2">
      <c r="A37" s="414">
        <v>14201</v>
      </c>
      <c r="B37" s="321" t="s">
        <v>1095</v>
      </c>
      <c r="C37" s="425">
        <v>2511342842.5500002</v>
      </c>
      <c r="D37" s="425">
        <v>-397472383.64999998</v>
      </c>
      <c r="F37" s="425"/>
      <c r="G37" s="367"/>
      <c r="H37" s="367"/>
      <c r="I37" s="425"/>
      <c r="J37" s="425"/>
      <c r="K37" s="425"/>
      <c r="L37" s="425"/>
    </row>
    <row r="38" spans="1:16" x14ac:dyDescent="0.2">
      <c r="A38" s="414">
        <v>14202</v>
      </c>
      <c r="B38" s="321" t="s">
        <v>1096</v>
      </c>
      <c r="C38" s="425">
        <v>20367307.039999999</v>
      </c>
      <c r="D38" s="425">
        <v>-35749274.939999998</v>
      </c>
      <c r="F38" s="425"/>
      <c r="G38" s="367"/>
      <c r="H38" s="367"/>
      <c r="I38" s="425"/>
      <c r="J38" s="425"/>
      <c r="L38" s="425"/>
    </row>
    <row r="39" spans="1:16" x14ac:dyDescent="0.2">
      <c r="A39" s="414">
        <v>14301</v>
      </c>
      <c r="B39" s="321" t="s">
        <v>1097</v>
      </c>
      <c r="C39" s="425">
        <v>-15902</v>
      </c>
      <c r="D39" s="425">
        <v>-9887514.4399999995</v>
      </c>
      <c r="F39" s="425"/>
      <c r="G39" s="367"/>
      <c r="H39" s="367"/>
      <c r="J39" s="425"/>
      <c r="K39" s="425"/>
    </row>
    <row r="40" spans="1:16" x14ac:dyDescent="0.2">
      <c r="A40" s="414">
        <v>14401</v>
      </c>
      <c r="B40" s="321" t="s">
        <v>1098</v>
      </c>
      <c r="C40" s="425">
        <v>21811879.699999999</v>
      </c>
      <c r="D40" s="425">
        <v>0</v>
      </c>
      <c r="F40" s="425"/>
      <c r="G40" s="367"/>
      <c r="H40" s="367"/>
      <c r="I40" s="425"/>
      <c r="J40" s="425"/>
      <c r="K40" s="425"/>
      <c r="L40" s="425"/>
    </row>
    <row r="41" spans="1:16" x14ac:dyDescent="0.2">
      <c r="A41" s="414">
        <v>14402</v>
      </c>
      <c r="B41" s="321" t="s">
        <v>1099</v>
      </c>
      <c r="C41" s="425">
        <v>106410829.34</v>
      </c>
      <c r="D41" s="425">
        <v>-285595650.08999997</v>
      </c>
      <c r="F41" s="425"/>
      <c r="G41" s="367"/>
      <c r="H41" s="647"/>
      <c r="I41" s="425"/>
      <c r="J41" s="425"/>
      <c r="L41" s="425"/>
    </row>
    <row r="42" spans="1:16" x14ac:dyDescent="0.2">
      <c r="A42" s="414">
        <v>14501</v>
      </c>
      <c r="B42" s="321" t="s">
        <v>1100</v>
      </c>
      <c r="C42" s="425">
        <v>12051040545.049999</v>
      </c>
      <c r="D42" s="425">
        <v>-3164451242.9200001</v>
      </c>
      <c r="F42" s="425"/>
      <c r="G42" s="367"/>
      <c r="H42" s="367"/>
      <c r="J42" s="425"/>
    </row>
    <row r="43" spans="1:16" x14ac:dyDescent="0.2">
      <c r="A43">
        <v>14502</v>
      </c>
      <c r="B43" s="431" t="s">
        <v>1101</v>
      </c>
      <c r="C43" s="425"/>
      <c r="D43" s="425"/>
      <c r="F43" s="425"/>
      <c r="G43" s="367"/>
      <c r="H43" s="367"/>
      <c r="I43" s="425"/>
      <c r="J43" s="425"/>
      <c r="K43" s="425"/>
    </row>
    <row r="44" spans="1:16" x14ac:dyDescent="0.2">
      <c r="A44">
        <v>14601</v>
      </c>
      <c r="B44" s="321" t="s">
        <v>1102</v>
      </c>
      <c r="C44" s="425">
        <v>0</v>
      </c>
      <c r="D44" s="425">
        <v>0</v>
      </c>
      <c r="F44" s="425"/>
      <c r="G44" s="367"/>
      <c r="H44" s="367"/>
      <c r="I44" s="425"/>
      <c r="J44" s="425"/>
      <c r="K44" s="425"/>
      <c r="L44" s="425"/>
    </row>
    <row r="45" spans="1:16" x14ac:dyDescent="0.2">
      <c r="A45" s="414">
        <v>14701</v>
      </c>
      <c r="B45" s="321" t="s">
        <v>1103</v>
      </c>
      <c r="C45" s="425">
        <v>0</v>
      </c>
      <c r="D45" s="425">
        <v>0</v>
      </c>
      <c r="F45" s="425"/>
      <c r="G45" s="367"/>
      <c r="H45" s="367"/>
      <c r="I45" s="425"/>
      <c r="J45" s="425"/>
      <c r="K45" s="425"/>
      <c r="L45" s="425"/>
    </row>
    <row r="46" spans="1:16" x14ac:dyDescent="0.2">
      <c r="A46" s="414">
        <v>14801</v>
      </c>
      <c r="B46" s="321" t="s">
        <v>1104</v>
      </c>
      <c r="C46" s="425">
        <v>-9650.5</v>
      </c>
      <c r="D46" s="425">
        <v>-3200.18</v>
      </c>
      <c r="F46" s="425"/>
      <c r="G46" s="367"/>
      <c r="H46" s="367"/>
      <c r="I46" s="425"/>
      <c r="J46" s="425"/>
      <c r="L46" s="425"/>
    </row>
    <row r="47" spans="1:16" x14ac:dyDescent="0.2">
      <c r="A47" s="414">
        <v>14901</v>
      </c>
      <c r="B47" s="321" t="s">
        <v>1105</v>
      </c>
      <c r="C47" s="425">
        <v>3880512.23</v>
      </c>
      <c r="D47" s="425">
        <v>-104999.94</v>
      </c>
      <c r="F47" s="425"/>
      <c r="G47" s="367"/>
      <c r="H47" s="367"/>
      <c r="J47" s="425"/>
    </row>
    <row r="48" spans="1:16" x14ac:dyDescent="0.2">
      <c r="A48">
        <v>14961</v>
      </c>
      <c r="B48" s="321" t="s">
        <v>1107</v>
      </c>
      <c r="C48" s="425">
        <v>1960939238.1400001</v>
      </c>
      <c r="D48" s="425">
        <v>0</v>
      </c>
      <c r="F48" s="425"/>
      <c r="G48" s="367"/>
      <c r="H48" s="367"/>
      <c r="J48" s="425"/>
    </row>
    <row r="49" spans="2:10" x14ac:dyDescent="0.2">
      <c r="B49" s="321"/>
      <c r="G49" s="367"/>
      <c r="H49" s="367"/>
      <c r="J49" s="425"/>
    </row>
    <row r="50" spans="2:10" x14ac:dyDescent="0.2">
      <c r="C50" s="425">
        <f>SUM(C34:C48)</f>
        <v>16719485276.409998</v>
      </c>
      <c r="D50" s="425">
        <f>SUM(D34:D48)</f>
        <v>-3902911495.1599998</v>
      </c>
      <c r="F50" s="425"/>
      <c r="G50" s="367"/>
    </row>
    <row r="51" spans="2:10" x14ac:dyDescent="0.2">
      <c r="F51" s="367"/>
      <c r="G51" s="367"/>
    </row>
    <row r="53" spans="2:10" x14ac:dyDescent="0.2">
      <c r="D53" s="425">
        <f>+C50+D50</f>
        <v>12816573781.249998</v>
      </c>
    </row>
    <row r="54" spans="2:10" x14ac:dyDescent="0.2">
      <c r="E54" s="425"/>
    </row>
    <row r="56" spans="2:10" x14ac:dyDescent="0.2">
      <c r="E56" s="425"/>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9"/>
  <sheetViews>
    <sheetView workbookViewId="0">
      <selection sqref="A1:XFD1048576"/>
    </sheetView>
  </sheetViews>
  <sheetFormatPr defaultColWidth="9.140625" defaultRowHeight="15" x14ac:dyDescent="0.25"/>
  <cols>
    <col min="1" max="1" width="17.28515625" style="1481" bestFit="1" customWidth="1"/>
    <col min="2" max="2" width="9.140625" style="1481"/>
    <col min="3" max="3" width="11.140625" style="1481" customWidth="1"/>
    <col min="4" max="4" width="10" style="1481" customWidth="1"/>
    <col min="5" max="5" width="19" style="1481" customWidth="1"/>
    <col min="6" max="6" width="25" style="1481" customWidth="1"/>
    <col min="7" max="7" width="17.5703125" style="1482" hidden="1" customWidth="1"/>
    <col min="8" max="8" width="15" style="1482" customWidth="1"/>
    <col min="9" max="9" width="1.140625" style="1481" hidden="1" customWidth="1"/>
    <col min="10" max="10" width="17.5703125" style="1481" hidden="1" customWidth="1"/>
    <col min="11" max="11" width="14.85546875" style="1482" customWidth="1"/>
    <col min="12" max="12" width="15.42578125" style="1481" customWidth="1"/>
    <col min="13" max="13" width="23.5703125" style="1483" customWidth="1"/>
    <col min="14" max="14" width="15.42578125" style="1484" customWidth="1"/>
    <col min="15" max="15" width="15.42578125" style="1484" hidden="1" customWidth="1"/>
    <col min="16" max="16" width="33.140625" style="1481" customWidth="1"/>
    <col min="17" max="17" width="8" style="1481" customWidth="1"/>
    <col min="18" max="18" width="11.42578125" style="1485" customWidth="1"/>
    <col min="19" max="19" width="17.28515625" style="1486" customWidth="1"/>
    <col min="20" max="20" width="26.5703125" style="1481" customWidth="1"/>
    <col min="21" max="16384" width="9.140625" style="1481"/>
  </cols>
  <sheetData>
    <row r="1" spans="1:21" x14ac:dyDescent="0.25">
      <c r="B1" s="1481" t="s">
        <v>2619</v>
      </c>
      <c r="H1" s="1482">
        <v>4</v>
      </c>
      <c r="J1" s="1481">
        <v>4</v>
      </c>
      <c r="P1" s="1481">
        <v>10000000</v>
      </c>
    </row>
    <row r="2" spans="1:21" ht="15.75" x14ac:dyDescent="0.25">
      <c r="B2" s="1487" t="s">
        <v>2620</v>
      </c>
      <c r="P2" s="1488" t="s">
        <v>2621</v>
      </c>
      <c r="R2" s="1489" t="s">
        <v>2622</v>
      </c>
    </row>
    <row r="3" spans="1:21" s="1483" customFormat="1" ht="61.5" customHeight="1" x14ac:dyDescent="0.25">
      <c r="B3" s="1490" t="s">
        <v>510</v>
      </c>
      <c r="C3" s="1490" t="s">
        <v>2623</v>
      </c>
      <c r="D3" s="1490" t="s">
        <v>2624</v>
      </c>
      <c r="E3" s="1490" t="s">
        <v>2625</v>
      </c>
      <c r="F3" s="1490" t="s">
        <v>2626</v>
      </c>
      <c r="G3" s="1491" t="s">
        <v>2627</v>
      </c>
      <c r="H3" s="1491" t="s">
        <v>2628</v>
      </c>
      <c r="I3" s="1490" t="s">
        <v>2629</v>
      </c>
      <c r="J3" s="1492" t="s">
        <v>2630</v>
      </c>
      <c r="K3" s="1493" t="s">
        <v>2631</v>
      </c>
      <c r="L3" s="1494" t="s">
        <v>2632</v>
      </c>
      <c r="M3" s="1495" t="s">
        <v>2633</v>
      </c>
      <c r="N3" s="1496" t="s">
        <v>2634</v>
      </c>
      <c r="O3" s="1495"/>
      <c r="P3" s="1495" t="s">
        <v>2635</v>
      </c>
      <c r="Q3" s="1497"/>
      <c r="R3" s="1498" t="s">
        <v>2636</v>
      </c>
      <c r="S3" s="1499"/>
      <c r="T3" s="1499"/>
    </row>
    <row r="4" spans="1:21" ht="60" x14ac:dyDescent="0.25">
      <c r="A4" s="1500"/>
      <c r="B4" s="1501">
        <v>1</v>
      </c>
      <c r="C4" s="1502" t="s">
        <v>2637</v>
      </c>
      <c r="D4" s="1502">
        <v>53032</v>
      </c>
      <c r="E4" s="1502">
        <v>21501001</v>
      </c>
      <c r="F4" s="1503" t="s">
        <v>2638</v>
      </c>
      <c r="G4" s="1504">
        <v>1091.1600000000001</v>
      </c>
      <c r="H4" s="1505">
        <v>201.92370959999997</v>
      </c>
      <c r="I4" s="1506"/>
      <c r="J4" s="1504">
        <f>17.82*4</f>
        <v>71.28</v>
      </c>
      <c r="K4" s="1504">
        <f>I4+J4</f>
        <v>71.28</v>
      </c>
      <c r="L4" s="1504">
        <f>+H4-K4</f>
        <v>130.64370959999997</v>
      </c>
      <c r="M4" s="1507" t="s">
        <v>2639</v>
      </c>
      <c r="N4" s="1508">
        <v>9.4500000000000001E-2</v>
      </c>
      <c r="O4" s="1508"/>
      <c r="P4" s="1509" t="s">
        <v>2640</v>
      </c>
      <c r="Q4" s="1510"/>
      <c r="R4" s="1511">
        <f>H4</f>
        <v>201.92370959999997</v>
      </c>
      <c r="T4" s="1486"/>
      <c r="U4" s="1486"/>
    </row>
    <row r="5" spans="1:21" ht="60" x14ac:dyDescent="0.25">
      <c r="A5" s="1500"/>
      <c r="B5" s="1501">
        <v>2</v>
      </c>
      <c r="C5" s="1502" t="s">
        <v>2637</v>
      </c>
      <c r="D5" s="1502">
        <v>53004</v>
      </c>
      <c r="E5" s="1502">
        <v>21501002</v>
      </c>
      <c r="F5" s="1503" t="s">
        <v>2641</v>
      </c>
      <c r="G5" s="1504">
        <v>1359.67</v>
      </c>
      <c r="H5" s="1505">
        <v>251.89673206666666</v>
      </c>
      <c r="I5" s="1506"/>
      <c r="J5" s="1504">
        <f>22.23*4</f>
        <v>88.92</v>
      </c>
      <c r="K5" s="1504">
        <f>I5+J5</f>
        <v>88.92</v>
      </c>
      <c r="L5" s="1504">
        <f>+H5-K5</f>
        <v>162.97673206666667</v>
      </c>
      <c r="M5" s="1507" t="s">
        <v>2639</v>
      </c>
      <c r="N5" s="1508">
        <v>9.4500000000000001E-2</v>
      </c>
      <c r="O5" s="1508"/>
      <c r="P5" s="1509" t="s">
        <v>2640</v>
      </c>
      <c r="Q5" s="1510"/>
      <c r="R5" s="1511">
        <f>H5</f>
        <v>251.89673206666666</v>
      </c>
      <c r="T5" s="1486"/>
      <c r="U5" s="1486"/>
    </row>
    <row r="6" spans="1:21" ht="60" x14ac:dyDescent="0.25">
      <c r="A6" s="1500"/>
      <c r="B6" s="1501">
        <v>3</v>
      </c>
      <c r="C6" s="1502" t="s">
        <v>2637</v>
      </c>
      <c r="D6" s="1502">
        <v>53031</v>
      </c>
      <c r="E6" s="1502">
        <v>21504017</v>
      </c>
      <c r="F6" s="1503" t="s">
        <v>2642</v>
      </c>
      <c r="G6" s="1504">
        <v>28.63</v>
      </c>
      <c r="H6" s="1505">
        <v>4.7716668000000002</v>
      </c>
      <c r="I6" s="1506"/>
      <c r="J6" s="1504">
        <f>0.5965*4</f>
        <v>2.3860000000000001</v>
      </c>
      <c r="K6" s="1504">
        <f t="shared" ref="K6" si="0">I6+J6</f>
        <v>2.3860000000000001</v>
      </c>
      <c r="L6" s="1504">
        <f t="shared" ref="L6:L25" si="1">+H6-K6</f>
        <v>2.3856668000000001</v>
      </c>
      <c r="M6" s="1507" t="s">
        <v>2643</v>
      </c>
      <c r="N6" s="1508">
        <v>0.1013</v>
      </c>
      <c r="O6" s="1508"/>
      <c r="P6" s="1507" t="s">
        <v>2644</v>
      </c>
      <c r="Q6" s="1483"/>
      <c r="R6" s="1511">
        <f>H6</f>
        <v>4.7716668000000002</v>
      </c>
      <c r="T6" s="1486"/>
      <c r="U6" s="1486"/>
    </row>
    <row r="7" spans="1:21" ht="120" x14ac:dyDescent="0.25">
      <c r="A7" s="1500"/>
      <c r="B7" s="1501">
        <v>4</v>
      </c>
      <c r="C7" s="1502" t="s">
        <v>2637</v>
      </c>
      <c r="D7" s="1502">
        <v>53030</v>
      </c>
      <c r="E7" s="1502">
        <v>21504018</v>
      </c>
      <c r="F7" s="1503" t="s">
        <v>2645</v>
      </c>
      <c r="G7" s="1504">
        <v>9895.66</v>
      </c>
      <c r="H7" s="1505">
        <v>6052.8968505333332</v>
      </c>
      <c r="I7" s="1506"/>
      <c r="J7" s="1504">
        <f>166.6*4</f>
        <v>666.4</v>
      </c>
      <c r="K7" s="1504">
        <f>I7+J7</f>
        <v>666.4</v>
      </c>
      <c r="L7" s="1504">
        <f t="shared" si="1"/>
        <v>5386.4968505333336</v>
      </c>
      <c r="M7" s="1507" t="s">
        <v>2646</v>
      </c>
      <c r="N7" s="1508">
        <v>0.09</v>
      </c>
      <c r="O7" s="1508"/>
      <c r="P7" s="1509" t="s">
        <v>2647</v>
      </c>
      <c r="Q7" s="1510"/>
      <c r="R7" s="1485">
        <f>J7*3</f>
        <v>1999.1999999999998</v>
      </c>
      <c r="T7" s="1486"/>
      <c r="U7" s="1486"/>
    </row>
    <row r="8" spans="1:21" ht="75" x14ac:dyDescent="0.25">
      <c r="A8" s="1500"/>
      <c r="B8" s="1501">
        <v>5</v>
      </c>
      <c r="C8" s="1502" t="s">
        <v>2637</v>
      </c>
      <c r="D8" s="1502">
        <v>53035</v>
      </c>
      <c r="E8" s="1502">
        <v>21504019</v>
      </c>
      <c r="F8" s="1503" t="s">
        <v>2648</v>
      </c>
      <c r="G8" s="1504">
        <v>27.76</v>
      </c>
      <c r="H8" s="1505">
        <v>3.9635123999999999</v>
      </c>
      <c r="I8" s="1512"/>
      <c r="J8" s="1513">
        <f>0.12*4</f>
        <v>0.48</v>
      </c>
      <c r="K8" s="1504">
        <f t="shared" ref="K8:K25" si="2">I8+J8</f>
        <v>0.48</v>
      </c>
      <c r="L8" s="1504">
        <f t="shared" si="1"/>
        <v>3.4835124</v>
      </c>
      <c r="M8" s="1507" t="s">
        <v>2649</v>
      </c>
      <c r="N8" s="1508">
        <v>0.1013</v>
      </c>
      <c r="O8" s="1507" t="s">
        <v>2650</v>
      </c>
      <c r="P8" s="1507" t="s">
        <v>2651</v>
      </c>
      <c r="Q8" s="1483"/>
      <c r="R8" s="1485">
        <f t="shared" ref="R8:R23" si="3">J8*3</f>
        <v>1.44</v>
      </c>
      <c r="T8" s="1486"/>
      <c r="U8" s="1486"/>
    </row>
    <row r="9" spans="1:21" ht="60" x14ac:dyDescent="0.25">
      <c r="A9" s="1500"/>
      <c r="B9" s="1501">
        <v>6</v>
      </c>
      <c r="C9" s="1502" t="s">
        <v>2637</v>
      </c>
      <c r="D9" s="1502">
        <v>53035</v>
      </c>
      <c r="E9" s="1502">
        <v>21504020</v>
      </c>
      <c r="F9" s="1503" t="s">
        <v>2652</v>
      </c>
      <c r="G9" s="1504">
        <v>186.98</v>
      </c>
      <c r="H9" s="1505">
        <v>78.100000199999997</v>
      </c>
      <c r="I9" s="1512"/>
      <c r="J9" s="1513">
        <f>3.55*4</f>
        <v>14.2</v>
      </c>
      <c r="K9" s="1504">
        <f t="shared" si="2"/>
        <v>14.2</v>
      </c>
      <c r="L9" s="1504">
        <f t="shared" si="1"/>
        <v>63.900000199999994</v>
      </c>
      <c r="M9" s="1507" t="s">
        <v>2653</v>
      </c>
      <c r="N9" s="1508">
        <v>0.1013</v>
      </c>
      <c r="O9" s="1507" t="s">
        <v>2650</v>
      </c>
      <c r="P9" s="1507" t="s">
        <v>2654</v>
      </c>
      <c r="Q9" s="1483"/>
      <c r="R9" s="1485">
        <f t="shared" si="3"/>
        <v>42.599999999999994</v>
      </c>
      <c r="T9" s="1486"/>
      <c r="U9" s="1486"/>
    </row>
    <row r="10" spans="1:21" ht="60" x14ac:dyDescent="0.25">
      <c r="A10" s="1500"/>
      <c r="B10" s="1501">
        <v>7</v>
      </c>
      <c r="C10" s="1502" t="s">
        <v>2637</v>
      </c>
      <c r="D10" s="1502">
        <v>53037</v>
      </c>
      <c r="E10" s="1502">
        <v>21504021</v>
      </c>
      <c r="F10" s="1503" t="s">
        <v>2655</v>
      </c>
      <c r="G10" s="1504">
        <v>181.76</v>
      </c>
      <c r="H10" s="1505">
        <v>68.291800300000006</v>
      </c>
      <c r="I10" s="1506"/>
      <c r="J10" s="1513">
        <f>1.63*4</f>
        <v>6.52</v>
      </c>
      <c r="K10" s="1504">
        <f t="shared" si="2"/>
        <v>6.52</v>
      </c>
      <c r="L10" s="1504">
        <f t="shared" si="1"/>
        <v>61.77180030000001</v>
      </c>
      <c r="M10" s="1507" t="s">
        <v>2656</v>
      </c>
      <c r="N10" s="1508">
        <v>0.1013</v>
      </c>
      <c r="O10" s="1507" t="s">
        <v>2650</v>
      </c>
      <c r="P10" s="1507" t="s">
        <v>2657</v>
      </c>
      <c r="Q10" s="1483"/>
      <c r="R10" s="1485">
        <f t="shared" si="3"/>
        <v>19.559999999999999</v>
      </c>
      <c r="T10" s="1486"/>
      <c r="U10" s="1486"/>
    </row>
    <row r="11" spans="1:21" ht="75" x14ac:dyDescent="0.25">
      <c r="A11" s="1500"/>
      <c r="B11" s="1501">
        <v>8</v>
      </c>
      <c r="C11" s="1502" t="s">
        <v>2637</v>
      </c>
      <c r="D11" s="1502">
        <v>53040</v>
      </c>
      <c r="E11" s="1502">
        <v>21504024</v>
      </c>
      <c r="F11" s="1503" t="s">
        <v>2658</v>
      </c>
      <c r="G11" s="1504">
        <v>12.04</v>
      </c>
      <c r="H11" s="1505">
        <v>3.5282371000000001</v>
      </c>
      <c r="I11" s="1506"/>
      <c r="J11" s="1504">
        <f>0.1176*4</f>
        <v>0.47039999999999998</v>
      </c>
      <c r="K11" s="1504">
        <f t="shared" si="2"/>
        <v>0.47039999999999998</v>
      </c>
      <c r="L11" s="1504">
        <f t="shared" si="1"/>
        <v>3.0578371</v>
      </c>
      <c r="M11" s="1507" t="s">
        <v>2659</v>
      </c>
      <c r="N11" s="1508">
        <v>0.1013</v>
      </c>
      <c r="O11" s="1507" t="s">
        <v>2650</v>
      </c>
      <c r="P11" s="1507" t="s">
        <v>2651</v>
      </c>
      <c r="Q11" s="1483"/>
      <c r="R11" s="1485">
        <f t="shared" si="3"/>
        <v>1.4112</v>
      </c>
      <c r="T11" s="1486"/>
      <c r="U11" s="1486"/>
    </row>
    <row r="12" spans="1:21" ht="75" x14ac:dyDescent="0.25">
      <c r="A12" s="1500"/>
      <c r="B12" s="1501">
        <v>9</v>
      </c>
      <c r="C12" s="1502" t="s">
        <v>2637</v>
      </c>
      <c r="D12" s="1502">
        <v>53041</v>
      </c>
      <c r="E12" s="1502">
        <v>21504025</v>
      </c>
      <c r="F12" s="1503" t="s">
        <v>2660</v>
      </c>
      <c r="G12" s="1504">
        <v>22.49</v>
      </c>
      <c r="H12" s="1505">
        <v>12.203099999999999</v>
      </c>
      <c r="I12" s="1506"/>
      <c r="J12" s="1504">
        <f>0.4068*4</f>
        <v>1.6272</v>
      </c>
      <c r="K12" s="1504">
        <f t="shared" si="2"/>
        <v>1.6272</v>
      </c>
      <c r="L12" s="1504">
        <f t="shared" si="1"/>
        <v>10.575899999999999</v>
      </c>
      <c r="M12" s="1507" t="s">
        <v>2659</v>
      </c>
      <c r="N12" s="1508">
        <v>0.1013</v>
      </c>
      <c r="O12" s="1507" t="s">
        <v>2650</v>
      </c>
      <c r="P12" s="1507" t="s">
        <v>2651</v>
      </c>
      <c r="Q12" s="1483"/>
      <c r="R12" s="1485">
        <f t="shared" si="3"/>
        <v>4.8815999999999997</v>
      </c>
      <c r="T12" s="1486"/>
      <c r="U12" s="1486"/>
    </row>
    <row r="13" spans="1:21" ht="75" x14ac:dyDescent="0.25">
      <c r="A13" s="1500" t="s">
        <v>2661</v>
      </c>
      <c r="B13" s="1501">
        <v>10</v>
      </c>
      <c r="C13" s="1502" t="s">
        <v>2637</v>
      </c>
      <c r="D13" s="1502">
        <v>53045</v>
      </c>
      <c r="E13" s="1502">
        <v>21504029</v>
      </c>
      <c r="F13" s="1503" t="s">
        <v>2662</v>
      </c>
      <c r="G13" s="1504">
        <v>9.5</v>
      </c>
      <c r="H13" s="1505">
        <v>1.84426</v>
      </c>
      <c r="I13" s="1506"/>
      <c r="J13" s="1504">
        <f>0.0737*4</f>
        <v>0.29480000000000001</v>
      </c>
      <c r="K13" s="1504">
        <f t="shared" si="2"/>
        <v>0.29480000000000001</v>
      </c>
      <c r="L13" s="1504">
        <f t="shared" si="1"/>
        <v>1.5494600000000001</v>
      </c>
      <c r="M13" s="1507" t="s">
        <v>2663</v>
      </c>
      <c r="N13" s="1508">
        <v>0.1013</v>
      </c>
      <c r="O13" s="1507" t="s">
        <v>2650</v>
      </c>
      <c r="P13" s="1507" t="s">
        <v>2651</v>
      </c>
      <c r="Q13" s="1483"/>
      <c r="R13" s="1485">
        <f t="shared" si="3"/>
        <v>0.88440000000000007</v>
      </c>
      <c r="T13" s="1486"/>
      <c r="U13" s="1486"/>
    </row>
    <row r="14" spans="1:21" ht="75" x14ac:dyDescent="0.25">
      <c r="A14" s="1500">
        <f>H13/40</f>
        <v>4.6106500000000002E-2</v>
      </c>
      <c r="B14" s="1501">
        <v>11</v>
      </c>
      <c r="C14" s="1502" t="s">
        <v>2637</v>
      </c>
      <c r="D14" s="1502">
        <v>53046</v>
      </c>
      <c r="E14" s="1502">
        <v>21504030</v>
      </c>
      <c r="F14" s="1503" t="s">
        <v>2664</v>
      </c>
      <c r="G14" s="1504">
        <v>37.49</v>
      </c>
      <c r="H14" s="1505">
        <v>0.34708660000000002</v>
      </c>
      <c r="I14" s="1506"/>
      <c r="J14" s="1504">
        <f>0.0102*4</f>
        <v>4.0800000000000003E-2</v>
      </c>
      <c r="K14" s="1504">
        <f t="shared" si="2"/>
        <v>4.0800000000000003E-2</v>
      </c>
      <c r="L14" s="1504">
        <f t="shared" si="1"/>
        <v>0.30628660000000002</v>
      </c>
      <c r="M14" s="1507" t="s">
        <v>2649</v>
      </c>
      <c r="N14" s="1508">
        <v>0.1013</v>
      </c>
      <c r="O14" s="1507" t="s">
        <v>2650</v>
      </c>
      <c r="P14" s="1507" t="s">
        <v>2651</v>
      </c>
      <c r="Q14" s="1483"/>
      <c r="R14" s="1485">
        <f t="shared" si="3"/>
        <v>0.12240000000000001</v>
      </c>
      <c r="T14" s="1486"/>
      <c r="U14" s="1486"/>
    </row>
    <row r="15" spans="1:21" ht="75" x14ac:dyDescent="0.25">
      <c r="A15" s="1500"/>
      <c r="B15" s="1501">
        <v>12</v>
      </c>
      <c r="C15" s="1502" t="s">
        <v>2637</v>
      </c>
      <c r="D15" s="1502">
        <v>53047</v>
      </c>
      <c r="E15" s="1502">
        <v>21504031</v>
      </c>
      <c r="F15" s="1503" t="s">
        <v>2665</v>
      </c>
      <c r="G15" s="1504">
        <f>14.62</f>
        <v>14.62</v>
      </c>
      <c r="H15" s="1505">
        <v>4.3368172999999999</v>
      </c>
      <c r="I15" s="1506"/>
      <c r="J15" s="1504">
        <f>0.1275*4</f>
        <v>0.51</v>
      </c>
      <c r="K15" s="1504">
        <f t="shared" si="2"/>
        <v>0.51</v>
      </c>
      <c r="L15" s="1504">
        <f t="shared" si="1"/>
        <v>3.8268173000000001</v>
      </c>
      <c r="M15" s="1507" t="s">
        <v>2649</v>
      </c>
      <c r="N15" s="1508">
        <v>0.1013</v>
      </c>
      <c r="O15" s="1507" t="s">
        <v>2650</v>
      </c>
      <c r="P15" s="1507" t="s">
        <v>2651</v>
      </c>
      <c r="Q15" s="1483"/>
      <c r="R15" s="1485">
        <f t="shared" si="3"/>
        <v>1.53</v>
      </c>
      <c r="T15" s="1486"/>
      <c r="U15" s="1486"/>
    </row>
    <row r="16" spans="1:21" ht="75" x14ac:dyDescent="0.25">
      <c r="A16" s="1500"/>
      <c r="B16" s="1501">
        <v>13</v>
      </c>
      <c r="C16" s="1502" t="s">
        <v>2637</v>
      </c>
      <c r="D16" s="1502">
        <v>53048</v>
      </c>
      <c r="E16" s="1502">
        <v>21504032</v>
      </c>
      <c r="F16" s="1503" t="s">
        <v>2666</v>
      </c>
      <c r="G16" s="1504">
        <v>17.059999999999999</v>
      </c>
      <c r="H16" s="1505">
        <v>4.4185619000000003</v>
      </c>
      <c r="I16" s="1506"/>
      <c r="J16" s="1504">
        <f>0.1299*4</f>
        <v>0.51959999999999995</v>
      </c>
      <c r="K16" s="1504">
        <f t="shared" si="2"/>
        <v>0.51959999999999995</v>
      </c>
      <c r="L16" s="1504">
        <f t="shared" si="1"/>
        <v>3.8989619000000002</v>
      </c>
      <c r="M16" s="1507" t="s">
        <v>2649</v>
      </c>
      <c r="N16" s="1508">
        <v>0.1013</v>
      </c>
      <c r="O16" s="1507" t="s">
        <v>2650</v>
      </c>
      <c r="P16" s="1507" t="s">
        <v>2651</v>
      </c>
      <c r="Q16" s="1483"/>
      <c r="R16" s="1485">
        <f t="shared" si="3"/>
        <v>1.5587999999999997</v>
      </c>
      <c r="T16" s="1486"/>
      <c r="U16" s="1486"/>
    </row>
    <row r="17" spans="1:21" ht="75" x14ac:dyDescent="0.25">
      <c r="A17" s="1500"/>
      <c r="B17" s="1501">
        <v>14</v>
      </c>
      <c r="C17" s="1502" t="s">
        <v>2637</v>
      </c>
      <c r="D17" s="1502">
        <v>53050</v>
      </c>
      <c r="E17" s="1502">
        <v>21504034</v>
      </c>
      <c r="F17" s="1503" t="s">
        <v>2667</v>
      </c>
      <c r="G17" s="1504">
        <v>21.73</v>
      </c>
      <c r="H17" s="1505">
        <v>3.7423511</v>
      </c>
      <c r="I17" s="1506"/>
      <c r="J17" s="1504">
        <f>0.1247*4</f>
        <v>0.49880000000000002</v>
      </c>
      <c r="K17" s="1504">
        <f t="shared" si="2"/>
        <v>0.49880000000000002</v>
      </c>
      <c r="L17" s="1504">
        <f t="shared" si="1"/>
        <v>3.2435510999999999</v>
      </c>
      <c r="M17" s="1507" t="s">
        <v>2668</v>
      </c>
      <c r="N17" s="1508">
        <v>0.1013</v>
      </c>
      <c r="O17" s="1507" t="s">
        <v>2650</v>
      </c>
      <c r="P17" s="1507" t="s">
        <v>2657</v>
      </c>
      <c r="Q17" s="1483"/>
      <c r="R17" s="1485">
        <f t="shared" si="3"/>
        <v>1.4964</v>
      </c>
      <c r="T17" s="1486"/>
      <c r="U17" s="1486"/>
    </row>
    <row r="18" spans="1:21" ht="105" x14ac:dyDescent="0.25">
      <c r="A18" s="1500"/>
      <c r="B18" s="1501">
        <v>15</v>
      </c>
      <c r="C18" s="1502" t="s">
        <v>2637</v>
      </c>
      <c r="D18" s="1502">
        <v>53053</v>
      </c>
      <c r="E18" s="1502">
        <v>21504037</v>
      </c>
      <c r="F18" s="1503" t="s">
        <v>2669</v>
      </c>
      <c r="G18" s="1504">
        <v>17.79</v>
      </c>
      <c r="H18" s="1505">
        <v>8.0179378000000003</v>
      </c>
      <c r="I18" s="1506"/>
      <c r="J18" s="1504">
        <f>0.297*4</f>
        <v>1.1879999999999999</v>
      </c>
      <c r="K18" s="1504">
        <f t="shared" si="2"/>
        <v>1.1879999999999999</v>
      </c>
      <c r="L18" s="1504">
        <f t="shared" si="1"/>
        <v>6.8299378000000006</v>
      </c>
      <c r="M18" s="1507" t="s">
        <v>2670</v>
      </c>
      <c r="N18" s="1508">
        <v>0.1013</v>
      </c>
      <c r="O18" s="1507" t="s">
        <v>2650</v>
      </c>
      <c r="P18" s="1507" t="s">
        <v>2651</v>
      </c>
      <c r="Q18" s="1483"/>
      <c r="R18" s="1485">
        <f t="shared" si="3"/>
        <v>3.5640000000000001</v>
      </c>
      <c r="T18" s="1486"/>
      <c r="U18" s="1486"/>
    </row>
    <row r="19" spans="1:21" ht="60" x14ac:dyDescent="0.25">
      <c r="A19" s="1500"/>
      <c r="B19" s="1501">
        <v>16</v>
      </c>
      <c r="C19" s="1502" t="s">
        <v>2637</v>
      </c>
      <c r="D19" s="1502">
        <v>53054</v>
      </c>
      <c r="E19" s="1502">
        <v>21504038</v>
      </c>
      <c r="F19" s="1503" t="s">
        <v>2671</v>
      </c>
      <c r="G19" s="1504">
        <v>27.57</v>
      </c>
      <c r="H19" s="1505">
        <v>18.38</v>
      </c>
      <c r="I19" s="1506"/>
      <c r="J19" s="1504">
        <f>0.4595*4</f>
        <v>1.8380000000000001</v>
      </c>
      <c r="K19" s="1504">
        <f t="shared" si="2"/>
        <v>1.8380000000000001</v>
      </c>
      <c r="L19" s="1504">
        <f t="shared" si="1"/>
        <v>16.541999999999998</v>
      </c>
      <c r="M19" s="1507" t="s">
        <v>2672</v>
      </c>
      <c r="N19" s="1508">
        <v>0.1013</v>
      </c>
      <c r="O19" s="1508"/>
      <c r="P19" s="1507" t="s">
        <v>2673</v>
      </c>
      <c r="Q19" s="1483"/>
      <c r="R19" s="1485">
        <f t="shared" si="3"/>
        <v>5.5140000000000002</v>
      </c>
      <c r="T19" s="1486"/>
      <c r="U19" s="1486"/>
    </row>
    <row r="20" spans="1:21" ht="75" x14ac:dyDescent="0.25">
      <c r="A20" s="1500"/>
      <c r="B20" s="1501">
        <v>17</v>
      </c>
      <c r="C20" s="1502" t="s">
        <v>2637</v>
      </c>
      <c r="D20" s="1502">
        <v>53055</v>
      </c>
      <c r="E20" s="1502">
        <v>21504039</v>
      </c>
      <c r="F20" s="1503" t="s">
        <v>2674</v>
      </c>
      <c r="G20" s="1504">
        <v>29.68</v>
      </c>
      <c r="H20" s="1505">
        <v>11.336497700000001</v>
      </c>
      <c r="I20" s="1506"/>
      <c r="J20" s="1504">
        <f>0.436*4</f>
        <v>1.744</v>
      </c>
      <c r="K20" s="1504">
        <f t="shared" si="2"/>
        <v>1.744</v>
      </c>
      <c r="L20" s="1504">
        <f t="shared" si="1"/>
        <v>9.5924977000000009</v>
      </c>
      <c r="M20" s="1507" t="s">
        <v>2675</v>
      </c>
      <c r="N20" s="1508">
        <v>0.1013</v>
      </c>
      <c r="O20" s="1508"/>
      <c r="P20" s="1507" t="s">
        <v>2673</v>
      </c>
      <c r="Q20" s="1483"/>
      <c r="R20" s="1485">
        <f t="shared" si="3"/>
        <v>5.2320000000000002</v>
      </c>
      <c r="T20" s="1486"/>
      <c r="U20" s="1486"/>
    </row>
    <row r="21" spans="1:21" ht="60" x14ac:dyDescent="0.25">
      <c r="A21" s="1500"/>
      <c r="B21" s="1501">
        <v>18</v>
      </c>
      <c r="C21" s="1502" t="s">
        <v>2637</v>
      </c>
      <c r="D21" s="1502">
        <v>53056</v>
      </c>
      <c r="E21" s="1502">
        <v>21504040</v>
      </c>
      <c r="F21" s="1503" t="s">
        <v>2676</v>
      </c>
      <c r="G21" s="1504">
        <v>10.88</v>
      </c>
      <c r="H21" s="1505">
        <v>6.3466661000000002</v>
      </c>
      <c r="I21" s="1506"/>
      <c r="J21" s="1504">
        <f>0.1813*4</f>
        <v>0.72519999999999996</v>
      </c>
      <c r="K21" s="1504">
        <f t="shared" si="2"/>
        <v>0.72519999999999996</v>
      </c>
      <c r="L21" s="1504">
        <f t="shared" si="1"/>
        <v>5.6214661000000001</v>
      </c>
      <c r="M21" s="1507" t="s">
        <v>2677</v>
      </c>
      <c r="N21" s="1508">
        <v>0.1013</v>
      </c>
      <c r="O21" s="1508"/>
      <c r="P21" s="1507" t="s">
        <v>2673</v>
      </c>
      <c r="Q21" s="1483"/>
      <c r="R21" s="1485">
        <f t="shared" si="3"/>
        <v>2.1755999999999998</v>
      </c>
      <c r="T21" s="1486"/>
      <c r="U21" s="1486"/>
    </row>
    <row r="22" spans="1:21" ht="75" x14ac:dyDescent="0.25">
      <c r="A22" s="1500"/>
      <c r="B22" s="1501">
        <v>19</v>
      </c>
      <c r="C22" s="1502" t="s">
        <v>2637</v>
      </c>
      <c r="D22" s="1502">
        <v>53058</v>
      </c>
      <c r="E22" s="1502">
        <v>21504042</v>
      </c>
      <c r="F22" s="1503" t="s">
        <v>2678</v>
      </c>
      <c r="G22" s="1504">
        <v>15.86</v>
      </c>
      <c r="H22" s="1505">
        <v>0.83160509999999999</v>
      </c>
      <c r="I22" s="1506"/>
      <c r="J22" s="1504">
        <f>0.0277*4</f>
        <v>0.1108</v>
      </c>
      <c r="K22" s="1504">
        <f t="shared" si="2"/>
        <v>0.1108</v>
      </c>
      <c r="L22" s="1504">
        <f t="shared" si="1"/>
        <v>0.72080509999999998</v>
      </c>
      <c r="M22" s="1507" t="s">
        <v>2659</v>
      </c>
      <c r="N22" s="1508">
        <v>0.1013</v>
      </c>
      <c r="O22" s="1508"/>
      <c r="P22" s="1507" t="s">
        <v>2673</v>
      </c>
      <c r="Q22" s="1483"/>
      <c r="R22" s="1485">
        <f t="shared" si="3"/>
        <v>0.33239999999999997</v>
      </c>
      <c r="T22" s="1486"/>
      <c r="U22" s="1486"/>
    </row>
    <row r="23" spans="1:21" ht="60" x14ac:dyDescent="0.25">
      <c r="A23" s="1500"/>
      <c r="B23" s="1501">
        <v>20</v>
      </c>
      <c r="C23" s="1502" t="s">
        <v>2637</v>
      </c>
      <c r="D23" s="1502">
        <v>53059</v>
      </c>
      <c r="E23" s="1502">
        <v>21504043</v>
      </c>
      <c r="F23" s="1503" t="s">
        <v>2679</v>
      </c>
      <c r="G23" s="1504">
        <v>6.97</v>
      </c>
      <c r="H23" s="1505">
        <v>3.4929098999999999</v>
      </c>
      <c r="I23" s="1506"/>
      <c r="J23" s="1504">
        <f>0.1164*4</f>
        <v>0.46560000000000001</v>
      </c>
      <c r="K23" s="1504">
        <f t="shared" si="2"/>
        <v>0.46560000000000001</v>
      </c>
      <c r="L23" s="1504">
        <f t="shared" si="1"/>
        <v>3.0273098999999997</v>
      </c>
      <c r="M23" s="1507" t="s">
        <v>2659</v>
      </c>
      <c r="N23" s="1508">
        <v>0.1013</v>
      </c>
      <c r="O23" s="1508"/>
      <c r="P23" s="1507" t="s">
        <v>2673</v>
      </c>
      <c r="Q23" s="1483"/>
      <c r="R23" s="1485">
        <f t="shared" si="3"/>
        <v>1.3968</v>
      </c>
      <c r="T23" s="1486"/>
      <c r="U23" s="1486"/>
    </row>
    <row r="24" spans="1:21" ht="105" x14ac:dyDescent="0.25">
      <c r="A24" s="1500"/>
      <c r="B24" s="1501">
        <v>21</v>
      </c>
      <c r="C24" s="1502" t="s">
        <v>2637</v>
      </c>
      <c r="D24" s="1502">
        <v>53060</v>
      </c>
      <c r="E24" s="1502">
        <v>21504044</v>
      </c>
      <c r="F24" s="1503" t="s">
        <v>2680</v>
      </c>
      <c r="G24" s="1504">
        <v>3.31</v>
      </c>
      <c r="H24" s="1505">
        <v>1.0026366</v>
      </c>
      <c r="I24" s="1506"/>
      <c r="J24" s="1504">
        <f>0.0334*4</f>
        <v>0.1336</v>
      </c>
      <c r="K24" s="1504">
        <f t="shared" si="2"/>
        <v>0.1336</v>
      </c>
      <c r="L24" s="1504">
        <f t="shared" si="1"/>
        <v>0.86903660000000005</v>
      </c>
      <c r="M24" s="1507" t="s">
        <v>2659</v>
      </c>
      <c r="N24" s="1508">
        <v>0.1013</v>
      </c>
      <c r="O24" s="1508"/>
      <c r="P24" s="1507" t="s">
        <v>2673</v>
      </c>
      <c r="Q24" s="1483"/>
      <c r="R24" s="1485">
        <f>J24*3</f>
        <v>0.40079999999999999</v>
      </c>
      <c r="T24" s="1486"/>
      <c r="U24" s="1486"/>
    </row>
    <row r="25" spans="1:21" ht="60" x14ac:dyDescent="0.25">
      <c r="A25" s="1500"/>
      <c r="B25" s="1501">
        <v>22</v>
      </c>
      <c r="C25" s="1502" t="s">
        <v>2637</v>
      </c>
      <c r="D25" s="1502">
        <v>53061</v>
      </c>
      <c r="E25" s="1502">
        <v>21504045</v>
      </c>
      <c r="F25" s="1503" t="s">
        <v>2681</v>
      </c>
      <c r="G25" s="1504">
        <v>7.49</v>
      </c>
      <c r="H25" s="1505">
        <v>3.2415259000000001</v>
      </c>
      <c r="I25" s="1506"/>
      <c r="J25" s="1504">
        <f>0.1081*4</f>
        <v>0.43240000000000001</v>
      </c>
      <c r="K25" s="1504">
        <f t="shared" si="2"/>
        <v>0.43240000000000001</v>
      </c>
      <c r="L25" s="1504">
        <f t="shared" si="1"/>
        <v>2.8091259000000002</v>
      </c>
      <c r="M25" s="1507" t="s">
        <v>2659</v>
      </c>
      <c r="N25" s="1508">
        <v>0.1013</v>
      </c>
      <c r="O25" s="1508"/>
      <c r="P25" s="1507" t="s">
        <v>2673</v>
      </c>
      <c r="Q25" s="1483"/>
      <c r="R25" s="1485">
        <f>J25*3</f>
        <v>1.2972000000000001</v>
      </c>
      <c r="T25" s="1486"/>
      <c r="U25" s="1486"/>
    </row>
    <row r="26" spans="1:21" ht="75" x14ac:dyDescent="0.25">
      <c r="A26" s="1500"/>
      <c r="B26" s="1501">
        <v>23</v>
      </c>
      <c r="C26" s="1502" t="s">
        <v>2637</v>
      </c>
      <c r="D26" s="1502">
        <v>53071</v>
      </c>
      <c r="E26" s="1502">
        <v>21504081</v>
      </c>
      <c r="F26" s="1503" t="s">
        <v>2682</v>
      </c>
      <c r="G26" s="1504">
        <v>443.25</v>
      </c>
      <c r="H26" s="1505">
        <v>409.31060500000001</v>
      </c>
      <c r="I26" s="1514"/>
      <c r="J26" s="1504">
        <f>7.28*4</f>
        <v>29.12</v>
      </c>
      <c r="K26" s="1504">
        <f>I26+J26</f>
        <v>29.12</v>
      </c>
      <c r="L26" s="1504">
        <f>+H26-K26</f>
        <v>380.19060500000001</v>
      </c>
      <c r="M26" s="1507" t="s">
        <v>2683</v>
      </c>
      <c r="N26" s="1508">
        <v>9.7199999999999995E-2</v>
      </c>
      <c r="O26" s="1508"/>
      <c r="P26" s="1503" t="s">
        <v>2684</v>
      </c>
      <c r="Q26" s="1503"/>
      <c r="R26" s="1485">
        <f>J26*3</f>
        <v>87.36</v>
      </c>
      <c r="S26" s="1482">
        <f>334.16/60</f>
        <v>5.5693333333333337</v>
      </c>
      <c r="T26" s="1486"/>
      <c r="U26" s="1486"/>
    </row>
    <row r="27" spans="1:21" ht="60" x14ac:dyDescent="0.25">
      <c r="A27" s="1500"/>
      <c r="B27" s="1501">
        <v>24</v>
      </c>
      <c r="C27" s="1502" t="s">
        <v>2637</v>
      </c>
      <c r="D27" s="1502">
        <v>53034</v>
      </c>
      <c r="E27" s="1515">
        <v>21524001</v>
      </c>
      <c r="F27" s="1516" t="s">
        <v>2685</v>
      </c>
      <c r="G27" s="1517">
        <v>300</v>
      </c>
      <c r="H27" s="1505">
        <v>27.671571499999999</v>
      </c>
      <c r="I27" s="1511"/>
      <c r="J27" s="1517">
        <f>H27</f>
        <v>27.671571499999999</v>
      </c>
      <c r="K27" s="1504">
        <f>I27+J27</f>
        <v>27.671571499999999</v>
      </c>
      <c r="L27" s="1504">
        <f>+H27-K27</f>
        <v>0</v>
      </c>
      <c r="M27" s="1507" t="s">
        <v>2686</v>
      </c>
      <c r="N27" s="1508">
        <v>0.1013</v>
      </c>
      <c r="O27" s="1508"/>
      <c r="P27" s="1507" t="s">
        <v>2650</v>
      </c>
      <c r="Q27" s="1483"/>
      <c r="R27" s="1511">
        <f>H27</f>
        <v>27.671571499999999</v>
      </c>
      <c r="T27" s="1486"/>
      <c r="U27" s="1486"/>
    </row>
    <row r="28" spans="1:21" ht="60" x14ac:dyDescent="0.25">
      <c r="A28" s="1500"/>
      <c r="B28" s="1501">
        <v>25</v>
      </c>
      <c r="C28" s="1502" t="s">
        <v>2637</v>
      </c>
      <c r="D28" s="1502">
        <v>53074</v>
      </c>
      <c r="E28" s="1502">
        <v>21504090</v>
      </c>
      <c r="F28" s="1518" t="s">
        <v>2687</v>
      </c>
      <c r="G28" s="1504">
        <v>10.5</v>
      </c>
      <c r="H28" s="1505">
        <v>2.3513516000000001</v>
      </c>
      <c r="I28" s="1519"/>
      <c r="J28" s="1520">
        <v>0</v>
      </c>
      <c r="K28" s="1520">
        <f>I28+J28</f>
        <v>0</v>
      </c>
      <c r="L28" s="1504">
        <f t="shared" ref="L28:L36" si="4">+H28-K28</f>
        <v>2.3513516000000001</v>
      </c>
      <c r="M28" s="1521" t="s">
        <v>2688</v>
      </c>
      <c r="N28" s="1508">
        <v>8.7400000000000005E-2</v>
      </c>
      <c r="O28" s="1508"/>
      <c r="P28" s="1507" t="s">
        <v>2689</v>
      </c>
      <c r="Q28" s="1483"/>
      <c r="R28" s="1522">
        <f>H28/180*19</f>
        <v>0.24819822444444448</v>
      </c>
      <c r="T28" s="1523"/>
      <c r="U28" s="1486"/>
    </row>
    <row r="29" spans="1:21" ht="60" x14ac:dyDescent="0.25">
      <c r="A29" s="1500"/>
      <c r="B29" s="1501">
        <v>26</v>
      </c>
      <c r="C29" s="1502" t="s">
        <v>2637</v>
      </c>
      <c r="D29" s="1502">
        <v>53075</v>
      </c>
      <c r="E29" s="1502">
        <v>21504091</v>
      </c>
      <c r="F29" s="1518" t="s">
        <v>2690</v>
      </c>
      <c r="G29" s="1504">
        <v>11.1</v>
      </c>
      <c r="H29" s="1505">
        <v>1.7411399000000001</v>
      </c>
      <c r="I29" s="1519"/>
      <c r="J29" s="1520">
        <v>0</v>
      </c>
      <c r="K29" s="1520">
        <f t="shared" ref="K29:K44" si="5">I29+J29</f>
        <v>0</v>
      </c>
      <c r="L29" s="1504">
        <f t="shared" si="4"/>
        <v>1.7411399000000001</v>
      </c>
      <c r="M29" s="1521" t="s">
        <v>2691</v>
      </c>
      <c r="N29" s="1508">
        <v>8.7400000000000005E-2</v>
      </c>
      <c r="O29" s="1508"/>
      <c r="P29" s="1507" t="s">
        <v>2689</v>
      </c>
      <c r="Q29" s="1483"/>
      <c r="R29" s="1522">
        <f>H29/180*18</f>
        <v>0.17411399</v>
      </c>
      <c r="T29" s="1486"/>
      <c r="U29" s="1486"/>
    </row>
    <row r="30" spans="1:21" ht="45" x14ac:dyDescent="0.25">
      <c r="A30" s="1500"/>
      <c r="B30" s="1501">
        <v>27</v>
      </c>
      <c r="C30" s="1502" t="s">
        <v>2637</v>
      </c>
      <c r="D30" s="1502">
        <v>53076</v>
      </c>
      <c r="E30" s="1502">
        <v>21504092</v>
      </c>
      <c r="F30" s="1518" t="s">
        <v>2692</v>
      </c>
      <c r="G30" s="1504">
        <v>10.18</v>
      </c>
      <c r="H30" s="1524">
        <v>4.4467920000000003</v>
      </c>
      <c r="I30" s="1519"/>
      <c r="J30" s="1520">
        <v>0</v>
      </c>
      <c r="K30" s="1520">
        <f t="shared" si="5"/>
        <v>0</v>
      </c>
      <c r="L30" s="1520">
        <f t="shared" si="4"/>
        <v>4.4467920000000003</v>
      </c>
      <c r="M30" s="1521" t="s">
        <v>2693</v>
      </c>
      <c r="N30" s="1508">
        <v>8.7400000000000005E-2</v>
      </c>
      <c r="O30" s="1508"/>
      <c r="P30" s="1507" t="s">
        <v>2689</v>
      </c>
      <c r="Q30" s="1483"/>
      <c r="R30" s="1522">
        <f>H30/180*8</f>
        <v>0.19763520000000001</v>
      </c>
      <c r="T30" s="1486"/>
      <c r="U30" s="1486"/>
    </row>
    <row r="31" spans="1:21" ht="60" x14ac:dyDescent="0.25">
      <c r="A31" s="1500"/>
      <c r="B31" s="1501">
        <v>28</v>
      </c>
      <c r="C31" s="1502" t="s">
        <v>2637</v>
      </c>
      <c r="D31" s="1502">
        <v>53077</v>
      </c>
      <c r="E31" s="1502">
        <v>21504093</v>
      </c>
      <c r="F31" s="1518" t="s">
        <v>2694</v>
      </c>
      <c r="G31" s="1504">
        <v>10.65</v>
      </c>
      <c r="H31" s="1524">
        <v>10.65</v>
      </c>
      <c r="I31" s="1519"/>
      <c r="J31" s="1520">
        <v>0</v>
      </c>
      <c r="K31" s="1520">
        <f t="shared" si="5"/>
        <v>0</v>
      </c>
      <c r="L31" s="1520">
        <f t="shared" si="4"/>
        <v>10.65</v>
      </c>
      <c r="M31" s="1521" t="s">
        <v>2695</v>
      </c>
      <c r="N31" s="1508">
        <v>8.7400000000000005E-2</v>
      </c>
      <c r="O31" s="1508"/>
      <c r="P31" s="1507" t="s">
        <v>2689</v>
      </c>
      <c r="Q31" s="1483"/>
      <c r="R31" s="1522">
        <f>H31/180*16</f>
        <v>0.94666666666666666</v>
      </c>
      <c r="T31" s="1486"/>
      <c r="U31" s="1486"/>
    </row>
    <row r="32" spans="1:21" ht="60" x14ac:dyDescent="0.25">
      <c r="A32" s="1500"/>
      <c r="B32" s="1501">
        <v>29</v>
      </c>
      <c r="C32" s="1502" t="s">
        <v>2637</v>
      </c>
      <c r="D32" s="1502">
        <v>53081</v>
      </c>
      <c r="E32" s="1502">
        <v>21504097</v>
      </c>
      <c r="F32" s="1525" t="s">
        <v>2696</v>
      </c>
      <c r="G32" s="1504">
        <v>9.5</v>
      </c>
      <c r="H32" s="1505">
        <v>4.6243607000000004</v>
      </c>
      <c r="I32" s="1519"/>
      <c r="J32" s="1520">
        <v>0</v>
      </c>
      <c r="K32" s="1520">
        <f t="shared" si="5"/>
        <v>0</v>
      </c>
      <c r="L32" s="1504">
        <f t="shared" si="4"/>
        <v>4.6243607000000004</v>
      </c>
      <c r="M32" s="1521" t="s">
        <v>2697</v>
      </c>
      <c r="N32" s="1508">
        <v>8.7400000000000005E-2</v>
      </c>
      <c r="O32" s="1508"/>
      <c r="P32" s="1507" t="s">
        <v>2689</v>
      </c>
      <c r="Q32" s="1483"/>
      <c r="R32" s="1522">
        <f>H32/180*19</f>
        <v>0.48812696277777778</v>
      </c>
      <c r="T32" s="1486"/>
      <c r="U32" s="1486"/>
    </row>
    <row r="33" spans="1:21" ht="45" x14ac:dyDescent="0.25">
      <c r="A33" s="1500"/>
      <c r="B33" s="1501">
        <v>30</v>
      </c>
      <c r="C33" s="1502" t="s">
        <v>2637</v>
      </c>
      <c r="D33" s="1502">
        <v>53073</v>
      </c>
      <c r="E33" s="1502">
        <v>21540002</v>
      </c>
      <c r="F33" s="1518" t="s">
        <v>2698</v>
      </c>
      <c r="G33" s="1504">
        <v>1558.42</v>
      </c>
      <c r="H33" s="1505">
        <v>180</v>
      </c>
      <c r="I33" s="1519"/>
      <c r="J33" s="1520">
        <v>0</v>
      </c>
      <c r="K33" s="1520">
        <f t="shared" si="5"/>
        <v>0</v>
      </c>
      <c r="L33" s="1504">
        <f t="shared" si="4"/>
        <v>180</v>
      </c>
      <c r="M33" s="1526" t="s">
        <v>2699</v>
      </c>
      <c r="N33" s="1508">
        <v>9.5000000000000001E-2</v>
      </c>
      <c r="O33" s="1508"/>
      <c r="P33" s="1507" t="s">
        <v>2700</v>
      </c>
      <c r="Q33" s="1483"/>
      <c r="R33" s="1485">
        <v>0</v>
      </c>
      <c r="T33" s="1486"/>
      <c r="U33" s="1486"/>
    </row>
    <row r="34" spans="1:21" ht="60" x14ac:dyDescent="0.25">
      <c r="A34" s="1500" t="s">
        <v>2701</v>
      </c>
      <c r="B34" s="1501">
        <v>31</v>
      </c>
      <c r="C34" s="1502" t="s">
        <v>2637</v>
      </c>
      <c r="D34" s="1502">
        <v>53082</v>
      </c>
      <c r="E34" s="1502">
        <v>21504098</v>
      </c>
      <c r="F34" s="1518" t="s">
        <v>2702</v>
      </c>
      <c r="G34" s="1525">
        <v>184.52</v>
      </c>
      <c r="H34" s="1505">
        <v>17.0366766</v>
      </c>
      <c r="I34" s="1511"/>
      <c r="J34" s="1520">
        <v>0</v>
      </c>
      <c r="K34" s="1520">
        <f t="shared" si="5"/>
        <v>0</v>
      </c>
      <c r="L34" s="1504">
        <f t="shared" si="4"/>
        <v>17.0366766</v>
      </c>
      <c r="M34" s="1521" t="s">
        <v>2703</v>
      </c>
      <c r="N34" s="1508">
        <v>8.7400000000000005E-2</v>
      </c>
      <c r="O34" s="1508"/>
      <c r="P34" s="1527" t="s">
        <v>2704</v>
      </c>
      <c r="Q34" s="1483"/>
      <c r="R34" s="1522">
        <f>H34/72*21</f>
        <v>4.969030675</v>
      </c>
      <c r="T34" s="1486"/>
      <c r="U34" s="1486"/>
    </row>
    <row r="35" spans="1:21" ht="60" x14ac:dyDescent="0.25">
      <c r="A35" s="1500" t="s">
        <v>2701</v>
      </c>
      <c r="B35" s="1501">
        <v>32</v>
      </c>
      <c r="C35" s="1502" t="s">
        <v>2637</v>
      </c>
      <c r="D35" s="1502">
        <v>53083</v>
      </c>
      <c r="E35" s="1502">
        <v>21504099</v>
      </c>
      <c r="F35" s="1518" t="s">
        <v>2705</v>
      </c>
      <c r="G35" s="1525">
        <v>45.52</v>
      </c>
      <c r="H35" s="1505">
        <v>12.8103008</v>
      </c>
      <c r="I35" s="1511"/>
      <c r="J35" s="1520">
        <v>0</v>
      </c>
      <c r="K35" s="1520">
        <f t="shared" si="5"/>
        <v>0</v>
      </c>
      <c r="L35" s="1504">
        <f t="shared" si="4"/>
        <v>12.8103008</v>
      </c>
      <c r="M35" s="1521" t="s">
        <v>2703</v>
      </c>
      <c r="N35" s="1508">
        <v>8.7400000000000005E-2</v>
      </c>
      <c r="O35" s="1508"/>
      <c r="P35" s="1527" t="s">
        <v>2704</v>
      </c>
      <c r="Q35" s="1483"/>
      <c r="R35" s="1522">
        <f>H35/72*21</f>
        <v>3.7363377333333334</v>
      </c>
      <c r="T35" s="1486"/>
      <c r="U35" s="1486"/>
    </row>
    <row r="36" spans="1:21" ht="60" x14ac:dyDescent="0.25">
      <c r="A36" s="1500" t="s">
        <v>2701</v>
      </c>
      <c r="B36" s="1501">
        <v>33</v>
      </c>
      <c r="C36" s="1502" t="s">
        <v>2637</v>
      </c>
      <c r="D36" s="1502">
        <v>53084</v>
      </c>
      <c r="E36" s="1502">
        <v>21504087</v>
      </c>
      <c r="F36" s="1518" t="s">
        <v>2706</v>
      </c>
      <c r="G36" s="1525">
        <v>312.85000000000002</v>
      </c>
      <c r="H36" s="1505">
        <v>41.024519499999997</v>
      </c>
      <c r="I36" s="1511"/>
      <c r="J36" s="1520">
        <v>0</v>
      </c>
      <c r="K36" s="1520">
        <f t="shared" si="5"/>
        <v>0</v>
      </c>
      <c r="L36" s="1504">
        <f t="shared" si="4"/>
        <v>41.024519499999997</v>
      </c>
      <c r="M36" s="1521" t="s">
        <v>2707</v>
      </c>
      <c r="N36" s="1508">
        <v>8.7400000000000005E-2</v>
      </c>
      <c r="O36" s="1508"/>
      <c r="P36" s="1527" t="s">
        <v>2704</v>
      </c>
      <c r="Q36" s="1483"/>
      <c r="R36" s="1485">
        <v>0</v>
      </c>
      <c r="T36" s="1486"/>
      <c r="U36" s="1486"/>
    </row>
    <row r="37" spans="1:21" ht="60" x14ac:dyDescent="0.25">
      <c r="A37" s="1500"/>
      <c r="B37" s="1501">
        <v>34</v>
      </c>
      <c r="C37" s="1502" t="s">
        <v>2637</v>
      </c>
      <c r="D37" s="1502">
        <v>53072</v>
      </c>
      <c r="E37" s="1502">
        <v>21571003</v>
      </c>
      <c r="F37" s="1503" t="s">
        <v>2708</v>
      </c>
      <c r="G37" s="1504">
        <v>2000</v>
      </c>
      <c r="H37" s="1504">
        <v>1887.1727430999999</v>
      </c>
      <c r="I37" s="1511"/>
      <c r="J37" s="1504">
        <f>14.5151*12</f>
        <v>174.18119999999999</v>
      </c>
      <c r="K37" s="1504">
        <f t="shared" si="5"/>
        <v>174.18119999999999</v>
      </c>
      <c r="L37" s="1504">
        <f>+H37-K37</f>
        <v>1712.9915430999999</v>
      </c>
      <c r="M37" s="1507" t="s">
        <v>2709</v>
      </c>
      <c r="N37" s="1508">
        <v>9.7199999999999995E-2</v>
      </c>
      <c r="O37" s="1508"/>
      <c r="P37" s="1507" t="s">
        <v>2710</v>
      </c>
      <c r="Q37" s="1483"/>
      <c r="R37" s="1511">
        <f>J37*3</f>
        <v>522.54359999999997</v>
      </c>
      <c r="T37" s="1486"/>
      <c r="U37" s="1486"/>
    </row>
    <row r="38" spans="1:21" ht="51.75" x14ac:dyDescent="0.25">
      <c r="A38" s="1500"/>
      <c r="B38" s="1501">
        <v>35</v>
      </c>
      <c r="C38" s="1502" t="s">
        <v>2637</v>
      </c>
      <c r="D38" s="1502">
        <v>53595</v>
      </c>
      <c r="E38" s="1502">
        <v>21571004</v>
      </c>
      <c r="F38" s="1503" t="s">
        <v>2708</v>
      </c>
      <c r="G38" s="1504">
        <v>1800</v>
      </c>
      <c r="H38" s="1504">
        <v>1800</v>
      </c>
      <c r="I38" s="1511"/>
      <c r="J38" s="1520">
        <v>0</v>
      </c>
      <c r="K38" s="1504">
        <f t="shared" si="5"/>
        <v>0</v>
      </c>
      <c r="L38" s="1504">
        <f>+H38-K38</f>
        <v>1800</v>
      </c>
      <c r="M38" s="1528" t="s">
        <v>2711</v>
      </c>
      <c r="N38" s="1508">
        <v>9.5000000000000001E-2</v>
      </c>
      <c r="O38" s="1508"/>
      <c r="P38" s="1509" t="s">
        <v>2712</v>
      </c>
      <c r="Q38" s="1483"/>
      <c r="R38" s="1511">
        <f>H38/96*20</f>
        <v>375</v>
      </c>
      <c r="T38" s="1486"/>
      <c r="U38" s="1486"/>
    </row>
    <row r="39" spans="1:21" ht="64.5" x14ac:dyDescent="0.25">
      <c r="A39" s="1500"/>
      <c r="B39" s="1501">
        <v>36</v>
      </c>
      <c r="C39" s="1502" t="s">
        <v>2637</v>
      </c>
      <c r="D39" s="1502">
        <v>53600</v>
      </c>
      <c r="E39" s="1502">
        <v>21571005</v>
      </c>
      <c r="F39" s="1503" t="s">
        <v>2708</v>
      </c>
      <c r="G39" s="1504">
        <v>500</v>
      </c>
      <c r="H39" s="1504">
        <v>500</v>
      </c>
      <c r="I39" s="1511"/>
      <c r="J39" s="1520">
        <v>0</v>
      </c>
      <c r="K39" s="1504">
        <f t="shared" si="5"/>
        <v>0</v>
      </c>
      <c r="L39" s="1504">
        <f>+H39-K39</f>
        <v>500</v>
      </c>
      <c r="M39" s="1528" t="s">
        <v>2713</v>
      </c>
      <c r="N39" s="1508">
        <v>9.5000000000000001E-2</v>
      </c>
      <c r="O39" s="1508"/>
      <c r="P39" s="1509" t="s">
        <v>2712</v>
      </c>
      <c r="Q39" s="1483"/>
      <c r="R39" s="1511">
        <f>H39/96*12</f>
        <v>62.5</v>
      </c>
      <c r="T39" s="1486"/>
      <c r="U39" s="1486"/>
    </row>
    <row r="40" spans="1:21" ht="60" x14ac:dyDescent="0.25">
      <c r="A40" s="1500"/>
      <c r="B40" s="1501">
        <v>37</v>
      </c>
      <c r="C40" s="1502" t="s">
        <v>2714</v>
      </c>
      <c r="D40" s="1502">
        <v>53301</v>
      </c>
      <c r="E40" s="1507" t="s">
        <v>258</v>
      </c>
      <c r="F40" s="1529" t="s">
        <v>2715</v>
      </c>
      <c r="G40" s="1504">
        <v>5171.8999999999996</v>
      </c>
      <c r="H40" s="1504">
        <v>1723.966314604</v>
      </c>
      <c r="I40" s="1504"/>
      <c r="J40" s="1504">
        <f>107.75*4</f>
        <v>431</v>
      </c>
      <c r="K40" s="1504">
        <f t="shared" si="5"/>
        <v>431</v>
      </c>
      <c r="L40" s="1504">
        <f>+H40-K40</f>
        <v>1292.966314604</v>
      </c>
      <c r="M40" s="1507" t="s">
        <v>2716</v>
      </c>
      <c r="N40" s="1530">
        <v>0.1013</v>
      </c>
      <c r="O40" s="1508"/>
      <c r="P40" s="1509" t="s">
        <v>2717</v>
      </c>
      <c r="Q40" s="1510"/>
      <c r="R40" s="1485">
        <f>J40*3</f>
        <v>1293</v>
      </c>
      <c r="T40" s="1486"/>
      <c r="U40" s="1486"/>
    </row>
    <row r="41" spans="1:21" ht="60" x14ac:dyDescent="0.25">
      <c r="A41" s="1500"/>
      <c r="B41" s="1501">
        <v>38</v>
      </c>
      <c r="C41" s="1502" t="s">
        <v>2714</v>
      </c>
      <c r="D41" s="1507" t="s">
        <v>2718</v>
      </c>
      <c r="E41" s="1507" t="s">
        <v>2719</v>
      </c>
      <c r="F41" s="1507" t="s">
        <v>2720</v>
      </c>
      <c r="G41" s="1504">
        <f>4400+1203.54</f>
        <v>5603.54</v>
      </c>
      <c r="H41" s="1504">
        <v>3399.7477695309999</v>
      </c>
      <c r="I41" s="1504"/>
      <c r="J41" s="1504">
        <f>135.99*4</f>
        <v>543.96</v>
      </c>
      <c r="K41" s="1504">
        <f t="shared" si="5"/>
        <v>543.96</v>
      </c>
      <c r="L41" s="1504">
        <f t="shared" ref="L41:L98" si="6">+H41-K41</f>
        <v>2855.7877695309999</v>
      </c>
      <c r="M41" s="1507" t="s">
        <v>2721</v>
      </c>
      <c r="N41" s="1530">
        <v>0.09</v>
      </c>
      <c r="O41" s="1508"/>
      <c r="P41" s="1509" t="s">
        <v>2717</v>
      </c>
      <c r="Q41" s="1510"/>
      <c r="R41" s="1485">
        <f>J41*3</f>
        <v>1631.88</v>
      </c>
      <c r="T41" s="1486"/>
      <c r="U41" s="1486"/>
    </row>
    <row r="42" spans="1:21" ht="60" x14ac:dyDescent="0.25">
      <c r="A42" s="1500"/>
      <c r="B42" s="1501">
        <v>39</v>
      </c>
      <c r="C42" s="1502" t="s">
        <v>2714</v>
      </c>
      <c r="D42" s="1502">
        <v>53303</v>
      </c>
      <c r="E42" s="1507" t="s">
        <v>260</v>
      </c>
      <c r="F42" s="1507" t="s">
        <v>2722</v>
      </c>
      <c r="G42" s="1504">
        <f>1100+531.74</f>
        <v>1631.74</v>
      </c>
      <c r="H42" s="1504">
        <v>821.65819999600012</v>
      </c>
      <c r="I42" s="1504"/>
      <c r="J42" s="1504">
        <f>34.24*4</f>
        <v>136.96</v>
      </c>
      <c r="K42" s="1504">
        <f t="shared" si="5"/>
        <v>136.96</v>
      </c>
      <c r="L42" s="1504">
        <f t="shared" si="6"/>
        <v>684.69819999600008</v>
      </c>
      <c r="M42" s="1507" t="s">
        <v>2721</v>
      </c>
      <c r="N42" s="1530">
        <v>0.1041</v>
      </c>
      <c r="O42" s="1508"/>
      <c r="P42" s="1509" t="s">
        <v>2717</v>
      </c>
      <c r="Q42" s="1510"/>
      <c r="R42" s="1485">
        <f>J42*3</f>
        <v>410.88</v>
      </c>
      <c r="T42" s="1486"/>
    </row>
    <row r="43" spans="1:21" ht="60" x14ac:dyDescent="0.25">
      <c r="A43" s="1500"/>
      <c r="B43" s="1501">
        <v>40</v>
      </c>
      <c r="C43" s="1502" t="s">
        <v>2714</v>
      </c>
      <c r="D43" s="1502">
        <v>53313</v>
      </c>
      <c r="E43" s="1507">
        <v>12610831</v>
      </c>
      <c r="F43" s="1507" t="s">
        <v>2723</v>
      </c>
      <c r="G43" s="1504">
        <v>2000</v>
      </c>
      <c r="H43" s="1504">
        <v>733.68421011600003</v>
      </c>
      <c r="I43" s="1504"/>
      <c r="J43" s="1504">
        <f>52.63*4</f>
        <v>210.52</v>
      </c>
      <c r="K43" s="1504">
        <f t="shared" si="5"/>
        <v>210.52</v>
      </c>
      <c r="L43" s="1504">
        <f t="shared" si="6"/>
        <v>523.16421011600005</v>
      </c>
      <c r="M43" s="1507" t="s">
        <v>2724</v>
      </c>
      <c r="N43" s="1530">
        <v>0.09</v>
      </c>
      <c r="O43" s="1508"/>
      <c r="P43" s="1509" t="s">
        <v>2717</v>
      </c>
      <c r="Q43" s="1510"/>
      <c r="R43" s="1485">
        <f>J43*3</f>
        <v>631.56000000000006</v>
      </c>
      <c r="T43" s="1486"/>
    </row>
    <row r="44" spans="1:21" ht="60" x14ac:dyDescent="0.25">
      <c r="A44" s="1500"/>
      <c r="B44" s="1501">
        <v>41</v>
      </c>
      <c r="C44" s="1502" t="s">
        <v>2714</v>
      </c>
      <c r="D44" s="1502">
        <v>53314</v>
      </c>
      <c r="E44" s="1507">
        <v>12528</v>
      </c>
      <c r="F44" s="1507" t="s">
        <v>2725</v>
      </c>
      <c r="G44" s="1504">
        <v>147.36000000000001</v>
      </c>
      <c r="H44" s="1504">
        <v>88.903181955999997</v>
      </c>
      <c r="I44" s="1504"/>
      <c r="J44" s="1504">
        <f>2.87*4</f>
        <v>11.48</v>
      </c>
      <c r="K44" s="1504">
        <f t="shared" si="5"/>
        <v>11.48</v>
      </c>
      <c r="L44" s="1504">
        <f t="shared" si="6"/>
        <v>77.423181955999993</v>
      </c>
      <c r="M44" s="1507" t="s">
        <v>2726</v>
      </c>
      <c r="N44" s="1530">
        <v>0.1</v>
      </c>
      <c r="O44" s="1508"/>
      <c r="P44" s="1509" t="s">
        <v>2727</v>
      </c>
      <c r="Q44" s="1510"/>
      <c r="R44" s="1485">
        <f>J44*3</f>
        <v>34.44</v>
      </c>
      <c r="T44" s="1486"/>
    </row>
    <row r="45" spans="1:21" ht="75" x14ac:dyDescent="0.25">
      <c r="A45" s="1500"/>
      <c r="B45" s="1501">
        <v>42</v>
      </c>
      <c r="C45" s="1502" t="s">
        <v>2714</v>
      </c>
      <c r="D45" s="1502">
        <v>53380</v>
      </c>
      <c r="E45" s="1507" t="s">
        <v>2728</v>
      </c>
      <c r="F45" s="1507" t="s">
        <v>2729</v>
      </c>
      <c r="G45" s="1504">
        <v>3432</v>
      </c>
      <c r="H45" s="1504">
        <v>3233.8955909000001</v>
      </c>
      <c r="I45" s="1504"/>
      <c r="J45" s="1504">
        <v>0</v>
      </c>
      <c r="K45" s="1504">
        <v>0</v>
      </c>
      <c r="L45" s="1504">
        <f t="shared" si="6"/>
        <v>3233.8955909000001</v>
      </c>
      <c r="M45" s="1507" t="s">
        <v>2730</v>
      </c>
      <c r="N45" s="1530">
        <v>9.2200000000000004E-2</v>
      </c>
      <c r="O45" s="1508"/>
      <c r="P45" s="1509" t="s">
        <v>2717</v>
      </c>
      <c r="Q45" s="1510"/>
      <c r="R45" s="1511">
        <f>H45/180*24</f>
        <v>431.18607878666671</v>
      </c>
      <c r="T45" s="1486"/>
    </row>
    <row r="46" spans="1:21" ht="90" x14ac:dyDescent="0.25">
      <c r="A46" s="1500"/>
      <c r="B46" s="1501">
        <v>43</v>
      </c>
      <c r="C46" s="1502" t="s">
        <v>2714</v>
      </c>
      <c r="D46" s="1502">
        <v>53559</v>
      </c>
      <c r="E46" s="1507" t="s">
        <v>262</v>
      </c>
      <c r="F46" s="1507" t="s">
        <v>2731</v>
      </c>
      <c r="G46" s="1504">
        <v>524</v>
      </c>
      <c r="H46" s="1504">
        <v>57.145556599999999</v>
      </c>
      <c r="I46" s="1504"/>
      <c r="J46" s="1504">
        <v>0</v>
      </c>
      <c r="K46" s="1504">
        <v>0</v>
      </c>
      <c r="L46" s="1504">
        <f>+H46-K46</f>
        <v>57.145556599999999</v>
      </c>
      <c r="M46" s="1507" t="s">
        <v>2730</v>
      </c>
      <c r="N46" s="1530">
        <v>0.10249999999999999</v>
      </c>
      <c r="O46" s="1508"/>
      <c r="P46" s="1509" t="s">
        <v>2732</v>
      </c>
      <c r="Q46" s="1510"/>
      <c r="R46" s="1511">
        <f>H46/180*24</f>
        <v>7.6194075466666664</v>
      </c>
      <c r="T46" s="1486"/>
    </row>
    <row r="47" spans="1:21" ht="90" x14ac:dyDescent="0.25">
      <c r="A47" s="1500"/>
      <c r="B47" s="1501">
        <v>44</v>
      </c>
      <c r="C47" s="1502" t="s">
        <v>2714</v>
      </c>
      <c r="D47" s="1502">
        <v>53593</v>
      </c>
      <c r="E47" s="1507" t="s">
        <v>263</v>
      </c>
      <c r="F47" s="1507" t="s">
        <v>2733</v>
      </c>
      <c r="G47" s="1504">
        <v>752</v>
      </c>
      <c r="H47" s="1504">
        <v>0.17399999999999999</v>
      </c>
      <c r="I47" s="1504"/>
      <c r="J47" s="1504">
        <v>0</v>
      </c>
      <c r="K47" s="1504">
        <v>0</v>
      </c>
      <c r="L47" s="1504">
        <f>+H47-K47</f>
        <v>0.17399999999999999</v>
      </c>
      <c r="M47" s="1507" t="s">
        <v>2734</v>
      </c>
      <c r="N47" s="1530">
        <v>0.1066</v>
      </c>
      <c r="O47" s="1508"/>
      <c r="P47" s="1509" t="s">
        <v>2735</v>
      </c>
      <c r="Q47" s="1510"/>
      <c r="R47" s="1511">
        <f>H47/120*25</f>
        <v>3.6249999999999998E-2</v>
      </c>
      <c r="T47" s="1486"/>
    </row>
    <row r="48" spans="1:21" ht="45" x14ac:dyDescent="0.25">
      <c r="A48" s="1500" t="s">
        <v>2701</v>
      </c>
      <c r="B48" s="1501">
        <v>45</v>
      </c>
      <c r="C48" s="1502" t="s">
        <v>2714</v>
      </c>
      <c r="D48" s="1502">
        <v>53423</v>
      </c>
      <c r="E48" s="1507" t="s">
        <v>264</v>
      </c>
      <c r="F48" s="1507" t="s">
        <v>2736</v>
      </c>
      <c r="G48" s="1504">
        <v>1557.19</v>
      </c>
      <c r="H48" s="1504">
        <v>355.7161997</v>
      </c>
      <c r="I48" s="1504"/>
      <c r="J48" s="1504">
        <v>0</v>
      </c>
      <c r="K48" s="1504">
        <v>0</v>
      </c>
      <c r="L48" s="1504">
        <f>+H48-K48</f>
        <v>355.7161997</v>
      </c>
      <c r="M48" s="1507" t="s">
        <v>2737</v>
      </c>
      <c r="N48" s="1530">
        <v>9.5000000000000001E-2</v>
      </c>
      <c r="O48" s="1508"/>
      <c r="P48" s="1509" t="s">
        <v>2738</v>
      </c>
      <c r="Q48" s="1510"/>
      <c r="R48" s="1511">
        <f>H48/120*4</f>
        <v>11.857206656666667</v>
      </c>
      <c r="T48" s="1486"/>
    </row>
    <row r="49" spans="1:21" ht="60" x14ac:dyDescent="0.25">
      <c r="A49" s="1500"/>
      <c r="B49" s="1501">
        <v>46</v>
      </c>
      <c r="C49" s="1502" t="s">
        <v>2714</v>
      </c>
      <c r="D49" s="1502">
        <v>53304</v>
      </c>
      <c r="E49" s="1502" t="s">
        <v>265</v>
      </c>
      <c r="F49" s="1503" t="s">
        <v>2739</v>
      </c>
      <c r="G49" s="1504">
        <v>52.9</v>
      </c>
      <c r="H49" s="1504">
        <v>5.1572978999999997</v>
      </c>
      <c r="I49" s="1504"/>
      <c r="J49" s="1504">
        <v>1.0314596</v>
      </c>
      <c r="K49" s="1504">
        <f t="shared" ref="K49:K112" si="7">I49+J49</f>
        <v>1.0314596</v>
      </c>
      <c r="L49" s="1504">
        <f t="shared" si="6"/>
        <v>4.1258382999999998</v>
      </c>
      <c r="M49" s="1507" t="s">
        <v>2740</v>
      </c>
      <c r="N49" s="1508">
        <v>0.1071</v>
      </c>
      <c r="O49" s="1508"/>
      <c r="P49" s="1509" t="s">
        <v>2741</v>
      </c>
      <c r="Q49" s="1510"/>
      <c r="R49" s="1522">
        <f t="shared" ref="R49:R111" si="8">J49*3</f>
        <v>3.0943788000000003</v>
      </c>
      <c r="T49" s="1486"/>
    </row>
    <row r="50" spans="1:21" ht="60" x14ac:dyDescent="0.25">
      <c r="A50" s="1500"/>
      <c r="B50" s="1501">
        <v>47</v>
      </c>
      <c r="C50" s="1502" t="s">
        <v>2714</v>
      </c>
      <c r="D50" s="1502">
        <v>53305</v>
      </c>
      <c r="E50" s="1502" t="s">
        <v>266</v>
      </c>
      <c r="F50" s="1503" t="s">
        <v>2742</v>
      </c>
      <c r="G50" s="1504">
        <v>23.81</v>
      </c>
      <c r="H50" s="1504">
        <v>2.9200976999999999</v>
      </c>
      <c r="I50" s="1504"/>
      <c r="J50" s="1504">
        <v>2.92</v>
      </c>
      <c r="K50" s="1504">
        <f t="shared" si="7"/>
        <v>2.92</v>
      </c>
      <c r="L50" s="1504">
        <f t="shared" si="6"/>
        <v>9.769999999997836E-5</v>
      </c>
      <c r="M50" s="1507" t="s">
        <v>2743</v>
      </c>
      <c r="N50" s="1508">
        <v>0.10349999999999999</v>
      </c>
      <c r="O50" s="1508"/>
      <c r="P50" s="1509" t="s">
        <v>2741</v>
      </c>
      <c r="Q50" s="1510"/>
      <c r="R50" s="1511">
        <f>H50</f>
        <v>2.9200976999999999</v>
      </c>
      <c r="T50" s="1486"/>
    </row>
    <row r="51" spans="1:21" ht="90" x14ac:dyDescent="0.25">
      <c r="A51" s="1500"/>
      <c r="B51" s="1501">
        <v>48</v>
      </c>
      <c r="C51" s="1502" t="s">
        <v>2714</v>
      </c>
      <c r="D51" s="1502">
        <v>53306</v>
      </c>
      <c r="E51" s="1502" t="s">
        <v>267</v>
      </c>
      <c r="F51" s="1503" t="s">
        <v>2744</v>
      </c>
      <c r="G51" s="1504">
        <v>9.56</v>
      </c>
      <c r="H51" s="1504">
        <v>0.58555029999999997</v>
      </c>
      <c r="I51" s="1504"/>
      <c r="J51" s="1504">
        <v>0.58550000000000002</v>
      </c>
      <c r="K51" s="1504">
        <f t="shared" si="7"/>
        <v>0.58550000000000002</v>
      </c>
      <c r="L51" s="1504">
        <f t="shared" si="6"/>
        <v>5.0299999999947609E-5</v>
      </c>
      <c r="M51" s="1507" t="s">
        <v>2745</v>
      </c>
      <c r="N51" s="1508">
        <v>0.10349999999999999</v>
      </c>
      <c r="O51" s="1508"/>
      <c r="P51" s="1509" t="s">
        <v>2741</v>
      </c>
      <c r="Q51" s="1510"/>
      <c r="R51" s="1511">
        <f>H51</f>
        <v>0.58555029999999997</v>
      </c>
    </row>
    <row r="52" spans="1:21" ht="75" x14ac:dyDescent="0.25">
      <c r="A52" s="1500"/>
      <c r="B52" s="1501">
        <v>49</v>
      </c>
      <c r="C52" s="1502" t="s">
        <v>2714</v>
      </c>
      <c r="D52" s="1502">
        <v>53307</v>
      </c>
      <c r="E52" s="1502" t="s">
        <v>268</v>
      </c>
      <c r="F52" s="1503" t="s">
        <v>2746</v>
      </c>
      <c r="G52" s="1504">
        <v>48.02</v>
      </c>
      <c r="H52" s="1504">
        <v>1.9949718999999999</v>
      </c>
      <c r="I52" s="1504"/>
      <c r="J52" s="1504">
        <v>1.99</v>
      </c>
      <c r="K52" s="1504">
        <f t="shared" si="7"/>
        <v>1.99</v>
      </c>
      <c r="L52" s="1504">
        <f t="shared" si="6"/>
        <v>4.9718999999999181E-3</v>
      </c>
      <c r="M52" s="1507" t="s">
        <v>2747</v>
      </c>
      <c r="N52" s="1508">
        <v>0.1079</v>
      </c>
      <c r="O52" s="1508"/>
      <c r="P52" s="1509" t="s">
        <v>2741</v>
      </c>
      <c r="Q52" s="1510"/>
      <c r="R52" s="1511">
        <f>H52</f>
        <v>1.9949718999999999</v>
      </c>
    </row>
    <row r="53" spans="1:21" ht="60" x14ac:dyDescent="0.25">
      <c r="A53" s="1500"/>
      <c r="B53" s="1501">
        <v>50</v>
      </c>
      <c r="C53" s="1502" t="s">
        <v>2714</v>
      </c>
      <c r="D53" s="1502">
        <v>53309</v>
      </c>
      <c r="E53" s="1502" t="s">
        <v>269</v>
      </c>
      <c r="F53" s="1503" t="s">
        <v>2748</v>
      </c>
      <c r="G53" s="1504">
        <v>20.71</v>
      </c>
      <c r="H53" s="1504">
        <v>1.5995225</v>
      </c>
      <c r="I53" s="1504"/>
      <c r="J53" s="1504">
        <v>1.6</v>
      </c>
      <c r="K53" s="1504">
        <f t="shared" si="7"/>
        <v>1.6</v>
      </c>
      <c r="L53" s="1504">
        <f t="shared" si="6"/>
        <v>-4.775000000001306E-4</v>
      </c>
      <c r="M53" s="1507" t="s">
        <v>2747</v>
      </c>
      <c r="N53" s="1508">
        <v>0.1053</v>
      </c>
      <c r="O53" s="1508"/>
      <c r="P53" s="1509" t="s">
        <v>2741</v>
      </c>
      <c r="Q53" s="1510"/>
      <c r="R53" s="1511">
        <f>H53</f>
        <v>1.5995225</v>
      </c>
    </row>
    <row r="54" spans="1:21" ht="75" x14ac:dyDescent="0.25">
      <c r="A54" s="1500"/>
      <c r="B54" s="1501">
        <v>51</v>
      </c>
      <c r="C54" s="1502" t="s">
        <v>2714</v>
      </c>
      <c r="D54" s="1502">
        <v>53312</v>
      </c>
      <c r="E54" s="1502" t="s">
        <v>270</v>
      </c>
      <c r="F54" s="1503" t="s">
        <v>2749</v>
      </c>
      <c r="G54" s="1504">
        <v>18.89</v>
      </c>
      <c r="H54" s="1504">
        <v>0.24952750000000001</v>
      </c>
      <c r="I54" s="1504"/>
      <c r="J54" s="1504">
        <v>0.2495</v>
      </c>
      <c r="K54" s="1504">
        <f t="shared" si="7"/>
        <v>0.2495</v>
      </c>
      <c r="L54" s="1504">
        <f t="shared" si="6"/>
        <v>2.7500000000013625E-5</v>
      </c>
      <c r="M54" s="1507" t="s">
        <v>2743</v>
      </c>
      <c r="N54" s="1508">
        <v>0.10349999999999999</v>
      </c>
      <c r="O54" s="1508"/>
      <c r="P54" s="1509" t="s">
        <v>2741</v>
      </c>
      <c r="Q54" s="1510"/>
      <c r="R54" s="1511">
        <f>H54</f>
        <v>0.24952750000000001</v>
      </c>
    </row>
    <row r="55" spans="1:21" ht="90" x14ac:dyDescent="0.25">
      <c r="A55" s="1500"/>
      <c r="B55" s="1501">
        <v>52</v>
      </c>
      <c r="C55" s="1502"/>
      <c r="D55" s="1502">
        <v>53315</v>
      </c>
      <c r="E55" s="1502" t="s">
        <v>271</v>
      </c>
      <c r="F55" s="1503" t="s">
        <v>2750</v>
      </c>
      <c r="G55" s="1504">
        <v>36.134999999999998</v>
      </c>
      <c r="H55" s="1504">
        <v>10.569914402</v>
      </c>
      <c r="I55" s="1504"/>
      <c r="J55" s="1504">
        <f>0.3298036*4</f>
        <v>1.3192143999999999</v>
      </c>
      <c r="K55" s="1504">
        <f t="shared" si="7"/>
        <v>1.3192143999999999</v>
      </c>
      <c r="L55" s="1504">
        <f t="shared" si="6"/>
        <v>9.2507000020000003</v>
      </c>
      <c r="M55" s="1507" t="s">
        <v>2751</v>
      </c>
      <c r="N55" s="1508">
        <v>9.8299999999999998E-2</v>
      </c>
      <c r="O55" s="1508"/>
      <c r="P55" s="1509" t="s">
        <v>2741</v>
      </c>
      <c r="Q55" s="1510"/>
      <c r="R55" s="1511">
        <f t="shared" si="8"/>
        <v>3.9576431999999997</v>
      </c>
    </row>
    <row r="56" spans="1:21" ht="135" x14ac:dyDescent="0.25">
      <c r="A56" s="1500"/>
      <c r="B56" s="1501">
        <v>53</v>
      </c>
      <c r="C56" s="1502"/>
      <c r="D56" s="1502">
        <v>53316</v>
      </c>
      <c r="E56" s="1502" t="s">
        <v>272</v>
      </c>
      <c r="F56" s="1503" t="s">
        <v>2752</v>
      </c>
      <c r="G56" s="1504">
        <v>16.937999999999999</v>
      </c>
      <c r="H56" s="1504">
        <v>12.928551461000001</v>
      </c>
      <c r="I56" s="1504"/>
      <c r="J56" s="1504">
        <f>0.3802515*4</f>
        <v>1.5210060000000001</v>
      </c>
      <c r="K56" s="1504">
        <f t="shared" si="7"/>
        <v>1.5210060000000001</v>
      </c>
      <c r="L56" s="1504">
        <f t="shared" si="6"/>
        <v>11.407545461000002</v>
      </c>
      <c r="M56" s="1507" t="s">
        <v>2753</v>
      </c>
      <c r="N56" s="1508">
        <v>9.7500000000000003E-2</v>
      </c>
      <c r="O56" s="1508"/>
      <c r="P56" s="1509" t="s">
        <v>2741</v>
      </c>
      <c r="Q56" s="1510"/>
      <c r="R56" s="1511">
        <f t="shared" si="8"/>
        <v>4.5630180000000005</v>
      </c>
    </row>
    <row r="57" spans="1:21" ht="90" x14ac:dyDescent="0.25">
      <c r="A57" s="1500"/>
      <c r="B57" s="1501">
        <v>54</v>
      </c>
      <c r="C57" s="1502" t="s">
        <v>2714</v>
      </c>
      <c r="D57" s="1502">
        <v>53317</v>
      </c>
      <c r="E57" s="1502" t="s">
        <v>273</v>
      </c>
      <c r="F57" s="1503" t="s">
        <v>2754</v>
      </c>
      <c r="G57" s="1504">
        <v>12.6</v>
      </c>
      <c r="H57" s="1504">
        <v>7.8559745159999999</v>
      </c>
      <c r="I57" s="1504"/>
      <c r="J57" s="1504">
        <v>1.1638481119999999</v>
      </c>
      <c r="K57" s="1504">
        <f t="shared" si="7"/>
        <v>1.1638481119999999</v>
      </c>
      <c r="L57" s="1504">
        <f t="shared" si="6"/>
        <v>6.6921264039999997</v>
      </c>
      <c r="M57" s="1507" t="s">
        <v>2755</v>
      </c>
      <c r="N57" s="1508">
        <v>9.8799999999999999E-2</v>
      </c>
      <c r="O57" s="1508"/>
      <c r="P57" s="1509" t="s">
        <v>2741</v>
      </c>
      <c r="Q57" s="1510"/>
      <c r="R57" s="1511">
        <f t="shared" si="8"/>
        <v>3.4915443359999996</v>
      </c>
    </row>
    <row r="58" spans="1:21" ht="75" x14ac:dyDescent="0.25">
      <c r="A58" s="1500"/>
      <c r="B58" s="1501">
        <v>55</v>
      </c>
      <c r="C58" s="1502" t="s">
        <v>2714</v>
      </c>
      <c r="D58" s="1502">
        <v>53318</v>
      </c>
      <c r="E58" s="1502" t="s">
        <v>274</v>
      </c>
      <c r="F58" s="1503" t="s">
        <v>2756</v>
      </c>
      <c r="G58" s="1504">
        <v>21.6</v>
      </c>
      <c r="H58" s="1504">
        <v>7.9278098999999997</v>
      </c>
      <c r="I58" s="1504"/>
      <c r="J58" s="1504">
        <v>1.0229432000000001</v>
      </c>
      <c r="K58" s="1504">
        <f t="shared" si="7"/>
        <v>1.0229432000000001</v>
      </c>
      <c r="L58" s="1504">
        <f t="shared" si="6"/>
        <v>6.9048666999999995</v>
      </c>
      <c r="M58" s="1507" t="s">
        <v>2755</v>
      </c>
      <c r="N58" s="1508">
        <v>9.9000000000000005E-2</v>
      </c>
      <c r="O58" s="1508"/>
      <c r="P58" s="1509" t="s">
        <v>2741</v>
      </c>
      <c r="Q58" s="1510"/>
      <c r="R58" s="1511">
        <f t="shared" si="8"/>
        <v>3.0688295999999999</v>
      </c>
    </row>
    <row r="59" spans="1:21" ht="180" x14ac:dyDescent="0.25">
      <c r="A59" s="1500"/>
      <c r="B59" s="1501">
        <v>56</v>
      </c>
      <c r="C59" s="1502" t="s">
        <v>2714</v>
      </c>
      <c r="D59" s="1502">
        <v>53320</v>
      </c>
      <c r="E59" s="1502" t="s">
        <v>275</v>
      </c>
      <c r="F59" s="1503" t="s">
        <v>2757</v>
      </c>
      <c r="G59" s="1504">
        <v>11.9</v>
      </c>
      <c r="H59" s="1504">
        <v>8.1686950450000015</v>
      </c>
      <c r="I59" s="1504"/>
      <c r="J59" s="1504">
        <v>1.2101771400000001</v>
      </c>
      <c r="K59" s="1504">
        <f t="shared" si="7"/>
        <v>1.2101771400000001</v>
      </c>
      <c r="L59" s="1504">
        <f t="shared" si="6"/>
        <v>6.9585179050000017</v>
      </c>
      <c r="M59" s="1507" t="s">
        <v>2755</v>
      </c>
      <c r="N59" s="1508">
        <v>9.8400000000000001E-2</v>
      </c>
      <c r="O59" s="1508"/>
      <c r="P59" s="1509" t="s">
        <v>2741</v>
      </c>
      <c r="Q59" s="1510"/>
      <c r="R59" s="1511">
        <f t="shared" si="8"/>
        <v>3.6305314200000005</v>
      </c>
    </row>
    <row r="60" spans="1:21" ht="75" x14ac:dyDescent="0.25">
      <c r="A60" s="1500"/>
      <c r="B60" s="1501">
        <v>57</v>
      </c>
      <c r="C60" s="1502" t="s">
        <v>2714</v>
      </c>
      <c r="D60" s="1502">
        <v>53321</v>
      </c>
      <c r="E60" s="1502" t="s">
        <v>276</v>
      </c>
      <c r="F60" s="1503" t="s">
        <v>2758</v>
      </c>
      <c r="G60" s="1504">
        <v>11.74</v>
      </c>
      <c r="H60" s="1504">
        <v>8.6447747959999983</v>
      </c>
      <c r="I60" s="1504"/>
      <c r="J60" s="1504">
        <v>1.2349678719999999</v>
      </c>
      <c r="K60" s="1504">
        <f t="shared" si="7"/>
        <v>1.2349678719999999</v>
      </c>
      <c r="L60" s="1504">
        <f t="shared" si="6"/>
        <v>7.409806923999998</v>
      </c>
      <c r="M60" s="1507" t="s">
        <v>2759</v>
      </c>
      <c r="N60" s="1508">
        <v>9.7600000000000006E-2</v>
      </c>
      <c r="O60" s="1508"/>
      <c r="P60" s="1509" t="s">
        <v>2741</v>
      </c>
      <c r="Q60" s="1510"/>
      <c r="R60" s="1511">
        <f t="shared" si="8"/>
        <v>3.7049036159999997</v>
      </c>
    </row>
    <row r="61" spans="1:21" ht="120" x14ac:dyDescent="0.25">
      <c r="A61" s="1500"/>
      <c r="B61" s="1501">
        <v>58</v>
      </c>
      <c r="C61" s="1502" t="s">
        <v>2714</v>
      </c>
      <c r="D61" s="1502">
        <v>53322</v>
      </c>
      <c r="E61" s="1502" t="s">
        <v>277</v>
      </c>
      <c r="F61" s="1503" t="s">
        <v>2760</v>
      </c>
      <c r="G61" s="1504">
        <v>76.569999999999993</v>
      </c>
      <c r="H61" s="1504">
        <v>26.724789743000002</v>
      </c>
      <c r="I61" s="1504"/>
      <c r="J61" s="1504">
        <v>3.8178272759999996</v>
      </c>
      <c r="K61" s="1504">
        <f t="shared" si="7"/>
        <v>3.8178272759999996</v>
      </c>
      <c r="L61" s="1504">
        <f t="shared" si="6"/>
        <v>22.906962467000003</v>
      </c>
      <c r="M61" s="1507" t="s">
        <v>2759</v>
      </c>
      <c r="N61" s="1508">
        <v>9.8699999999999996E-2</v>
      </c>
      <c r="O61" s="1508"/>
      <c r="P61" s="1509" t="s">
        <v>2741</v>
      </c>
      <c r="Q61" s="1510"/>
      <c r="R61" s="1511">
        <f t="shared" si="8"/>
        <v>11.453481827999999</v>
      </c>
    </row>
    <row r="62" spans="1:21" ht="75" x14ac:dyDescent="0.25">
      <c r="A62" s="1500"/>
      <c r="B62" s="1501">
        <v>59</v>
      </c>
      <c r="C62" s="1502" t="s">
        <v>2714</v>
      </c>
      <c r="D62" s="1502">
        <v>53323</v>
      </c>
      <c r="E62" s="1502" t="s">
        <v>278</v>
      </c>
      <c r="F62" s="1503" t="s">
        <v>2761</v>
      </c>
      <c r="G62" s="1504">
        <v>13.2</v>
      </c>
      <c r="H62" s="1504">
        <v>6.9500060280000016</v>
      </c>
      <c r="I62" s="1504"/>
      <c r="J62" s="1504">
        <v>1.029630496</v>
      </c>
      <c r="K62" s="1504">
        <f t="shared" si="7"/>
        <v>1.029630496</v>
      </c>
      <c r="L62" s="1504">
        <f t="shared" si="6"/>
        <v>5.9203755320000013</v>
      </c>
      <c r="M62" s="1507" t="s">
        <v>2755</v>
      </c>
      <c r="N62" s="1508">
        <v>9.9699999999999997E-2</v>
      </c>
      <c r="O62" s="1508"/>
      <c r="P62" s="1509" t="s">
        <v>2741</v>
      </c>
      <c r="Q62" s="1510"/>
      <c r="R62" s="1511">
        <f t="shared" si="8"/>
        <v>3.0888914879999998</v>
      </c>
    </row>
    <row r="63" spans="1:21" ht="60" x14ac:dyDescent="0.25">
      <c r="A63" s="1500"/>
      <c r="B63" s="1501">
        <v>60</v>
      </c>
      <c r="C63" s="1502" t="s">
        <v>2714</v>
      </c>
      <c r="D63" s="1502">
        <v>53324</v>
      </c>
      <c r="E63" s="1502" t="s">
        <v>279</v>
      </c>
      <c r="F63" s="1503" t="s">
        <v>2762</v>
      </c>
      <c r="G63" s="1504">
        <v>16.3</v>
      </c>
      <c r="H63" s="1504">
        <v>10.065971129000003</v>
      </c>
      <c r="I63" s="1504"/>
      <c r="J63" s="1504">
        <v>1.4912550280000001</v>
      </c>
      <c r="K63" s="1504">
        <f t="shared" si="7"/>
        <v>1.4912550280000001</v>
      </c>
      <c r="L63" s="1504">
        <f t="shared" si="6"/>
        <v>8.5747161010000035</v>
      </c>
      <c r="M63" s="1507" t="s">
        <v>2755</v>
      </c>
      <c r="N63" s="1508">
        <v>0.10059999999999999</v>
      </c>
      <c r="O63" s="1508"/>
      <c r="P63" s="1509" t="s">
        <v>2741</v>
      </c>
      <c r="Q63" s="1510"/>
      <c r="R63" s="1511">
        <f t="shared" si="8"/>
        <v>4.4737650840000001</v>
      </c>
    </row>
    <row r="64" spans="1:21" s="1486" customFormat="1" ht="75" x14ac:dyDescent="0.25">
      <c r="A64" s="1500"/>
      <c r="B64" s="1501">
        <v>61</v>
      </c>
      <c r="C64" s="1502" t="s">
        <v>2714</v>
      </c>
      <c r="D64" s="1502">
        <v>53325</v>
      </c>
      <c r="E64" s="1502" t="s">
        <v>280</v>
      </c>
      <c r="F64" s="1503" t="s">
        <v>2763</v>
      </c>
      <c r="G64" s="1504">
        <v>17.379000000000001</v>
      </c>
      <c r="H64" s="1504">
        <v>8.5249830000000006</v>
      </c>
      <c r="I64" s="1504"/>
      <c r="J64" s="1504">
        <f>H64/40*3</f>
        <v>0.639373725</v>
      </c>
      <c r="K64" s="1504">
        <f t="shared" si="7"/>
        <v>0.639373725</v>
      </c>
      <c r="L64" s="1504">
        <f t="shared" si="6"/>
        <v>7.8856092750000002</v>
      </c>
      <c r="M64" s="1507" t="s">
        <v>2764</v>
      </c>
      <c r="N64" s="1508">
        <v>9.6699999999999994E-2</v>
      </c>
      <c r="O64" s="1508"/>
      <c r="P64" s="1509" t="s">
        <v>2741</v>
      </c>
      <c r="Q64" s="1510"/>
      <c r="R64" s="1504">
        <f>H64/40*11</f>
        <v>2.3443703250000003</v>
      </c>
      <c r="T64" s="1481"/>
      <c r="U64" s="1481"/>
    </row>
    <row r="65" spans="1:21" s="1486" customFormat="1" ht="60" x14ac:dyDescent="0.25">
      <c r="A65" s="1500"/>
      <c r="B65" s="1501">
        <v>62</v>
      </c>
      <c r="C65" s="1502" t="s">
        <v>2714</v>
      </c>
      <c r="D65" s="1502">
        <v>53326</v>
      </c>
      <c r="E65" s="1502" t="s">
        <v>281</v>
      </c>
      <c r="F65" s="1503" t="s">
        <v>2765</v>
      </c>
      <c r="G65" s="1504">
        <v>16.911000000000001</v>
      </c>
      <c r="H65" s="1504">
        <v>12.260474997000003</v>
      </c>
      <c r="I65" s="1504"/>
      <c r="J65" s="1504">
        <v>1.6911000040000004</v>
      </c>
      <c r="K65" s="1504">
        <f t="shared" si="7"/>
        <v>1.6911000040000004</v>
      </c>
      <c r="L65" s="1504">
        <f t="shared" si="6"/>
        <v>10.569374993000002</v>
      </c>
      <c r="M65" s="1507" t="s">
        <v>2751</v>
      </c>
      <c r="N65" s="1508">
        <v>9.8000000000000004E-2</v>
      </c>
      <c r="O65" s="1508"/>
      <c r="P65" s="1509" t="s">
        <v>2741</v>
      </c>
      <c r="Q65" s="1510"/>
      <c r="R65" s="1511">
        <f t="shared" si="8"/>
        <v>5.0733000120000007</v>
      </c>
      <c r="T65" s="1481"/>
      <c r="U65" s="1481"/>
    </row>
    <row r="66" spans="1:21" s="1486" customFormat="1" ht="60" x14ac:dyDescent="0.25">
      <c r="A66" s="1500"/>
      <c r="B66" s="1501">
        <v>63</v>
      </c>
      <c r="C66" s="1502" t="s">
        <v>2714</v>
      </c>
      <c r="D66" s="1502">
        <v>53327</v>
      </c>
      <c r="E66" s="1502" t="s">
        <v>282</v>
      </c>
      <c r="F66" s="1503" t="s">
        <v>2766</v>
      </c>
      <c r="G66" s="1504">
        <v>18.170000000000002</v>
      </c>
      <c r="H66" s="1504">
        <v>13.086473608000004</v>
      </c>
      <c r="I66" s="1504"/>
      <c r="J66" s="1504">
        <v>1.8694962560000001</v>
      </c>
      <c r="K66" s="1504">
        <f t="shared" si="7"/>
        <v>1.8694962560000001</v>
      </c>
      <c r="L66" s="1504">
        <f t="shared" si="6"/>
        <v>11.216977352000004</v>
      </c>
      <c r="M66" s="1507" t="s">
        <v>2759</v>
      </c>
      <c r="N66" s="1508">
        <v>9.8299999999999998E-2</v>
      </c>
      <c r="O66" s="1508"/>
      <c r="P66" s="1509" t="s">
        <v>2741</v>
      </c>
      <c r="Q66" s="1510"/>
      <c r="R66" s="1511">
        <f t="shared" si="8"/>
        <v>5.6084887680000008</v>
      </c>
      <c r="T66" s="1481"/>
      <c r="U66" s="1481"/>
    </row>
    <row r="67" spans="1:21" s="1486" customFormat="1" ht="60" x14ac:dyDescent="0.25">
      <c r="A67" s="1500"/>
      <c r="B67" s="1501">
        <v>64</v>
      </c>
      <c r="C67" s="1502" t="s">
        <v>2714</v>
      </c>
      <c r="D67" s="1502">
        <v>53328</v>
      </c>
      <c r="E67" s="1502" t="s">
        <v>283</v>
      </c>
      <c r="F67" s="1503" t="s">
        <v>2767</v>
      </c>
      <c r="G67" s="1504">
        <v>13.7</v>
      </c>
      <c r="H67" s="1504">
        <v>10.768080404000003</v>
      </c>
      <c r="I67" s="1504"/>
      <c r="J67" s="1504">
        <v>1.3569817279999998</v>
      </c>
      <c r="K67" s="1504">
        <f t="shared" si="7"/>
        <v>1.3569817279999998</v>
      </c>
      <c r="L67" s="1504">
        <f t="shared" si="6"/>
        <v>9.4110986760000035</v>
      </c>
      <c r="M67" s="1507" t="s">
        <v>2768</v>
      </c>
      <c r="N67" s="1508">
        <v>9.7600000000000006E-2</v>
      </c>
      <c r="O67" s="1508"/>
      <c r="P67" s="1509" t="s">
        <v>2741</v>
      </c>
      <c r="Q67" s="1510"/>
      <c r="R67" s="1511">
        <f t="shared" si="8"/>
        <v>4.0709451839999993</v>
      </c>
      <c r="T67" s="1481"/>
      <c r="U67" s="1481"/>
    </row>
    <row r="68" spans="1:21" s="1486" customFormat="1" ht="105" x14ac:dyDescent="0.25">
      <c r="A68" s="1500"/>
      <c r="B68" s="1501">
        <v>65</v>
      </c>
      <c r="C68" s="1502" t="s">
        <v>2714</v>
      </c>
      <c r="D68" s="1502">
        <v>53329</v>
      </c>
      <c r="E68" s="1502" t="s">
        <v>284</v>
      </c>
      <c r="F68" s="1503" t="s">
        <v>2769</v>
      </c>
      <c r="G68" s="1504">
        <v>14.69</v>
      </c>
      <c r="H68" s="1504">
        <v>9.8213581770000005</v>
      </c>
      <c r="I68" s="1504"/>
      <c r="J68" s="1504">
        <v>1.21736128</v>
      </c>
      <c r="K68" s="1504">
        <f t="shared" si="7"/>
        <v>1.21736128</v>
      </c>
      <c r="L68" s="1504">
        <f t="shared" si="6"/>
        <v>8.603996897</v>
      </c>
      <c r="M68" s="1507" t="s">
        <v>2759</v>
      </c>
      <c r="N68" s="1508">
        <v>9.7799999999999998E-2</v>
      </c>
      <c r="O68" s="1508"/>
      <c r="P68" s="1509" t="s">
        <v>2741</v>
      </c>
      <c r="Q68" s="1510"/>
      <c r="R68" s="1511">
        <f t="shared" si="8"/>
        <v>3.65208384</v>
      </c>
      <c r="T68" s="1481"/>
      <c r="U68" s="1481"/>
    </row>
    <row r="69" spans="1:21" s="1486" customFormat="1" ht="60" x14ac:dyDescent="0.25">
      <c r="A69" s="1500"/>
      <c r="B69" s="1501">
        <v>66</v>
      </c>
      <c r="C69" s="1502" t="s">
        <v>2714</v>
      </c>
      <c r="D69" s="1502">
        <v>53330</v>
      </c>
      <c r="E69" s="1502" t="s">
        <v>285</v>
      </c>
      <c r="F69" s="1503" t="s">
        <v>2770</v>
      </c>
      <c r="G69" s="1504">
        <v>38.75</v>
      </c>
      <c r="H69" s="1504">
        <v>23.166284041999997</v>
      </c>
      <c r="I69" s="1504"/>
      <c r="J69" s="1504">
        <v>3.5640435439999996</v>
      </c>
      <c r="K69" s="1504">
        <f t="shared" si="7"/>
        <v>3.5640435439999996</v>
      </c>
      <c r="L69" s="1504">
        <f t="shared" si="6"/>
        <v>19.602240497999997</v>
      </c>
      <c r="M69" s="1507" t="s">
        <v>2771</v>
      </c>
      <c r="N69" s="1508">
        <v>0.1012</v>
      </c>
      <c r="O69" s="1508"/>
      <c r="P69" s="1509" t="s">
        <v>2741</v>
      </c>
      <c r="Q69" s="1510"/>
      <c r="R69" s="1511">
        <f t="shared" si="8"/>
        <v>10.692130631999998</v>
      </c>
      <c r="T69" s="1481"/>
      <c r="U69" s="1481"/>
    </row>
    <row r="70" spans="1:21" s="1486" customFormat="1" ht="60" x14ac:dyDescent="0.25">
      <c r="A70" s="1500"/>
      <c r="B70" s="1501">
        <v>67</v>
      </c>
      <c r="C70" s="1502" t="s">
        <v>2714</v>
      </c>
      <c r="D70" s="1502">
        <v>53331</v>
      </c>
      <c r="E70" s="1502" t="s">
        <v>286</v>
      </c>
      <c r="F70" s="1503" t="s">
        <v>2772</v>
      </c>
      <c r="G70" s="1504">
        <v>17.809999999999999</v>
      </c>
      <c r="H70" s="1504">
        <v>3.4272459220000004</v>
      </c>
      <c r="I70" s="1504"/>
      <c r="J70" s="1504">
        <v>0.50774010400000003</v>
      </c>
      <c r="K70" s="1504">
        <f>I70+J70</f>
        <v>0.50774010400000003</v>
      </c>
      <c r="L70" s="1504">
        <f>+H70-K70</f>
        <v>2.9195058180000002</v>
      </c>
      <c r="M70" s="1507" t="s">
        <v>2755</v>
      </c>
      <c r="N70" s="1508">
        <v>0.10100000000000001</v>
      </c>
      <c r="O70" s="1508"/>
      <c r="P70" s="1509" t="s">
        <v>2741</v>
      </c>
      <c r="Q70" s="1510"/>
      <c r="R70" s="1511">
        <f t="shared" si="8"/>
        <v>1.5232203120000001</v>
      </c>
      <c r="T70" s="1481"/>
      <c r="U70" s="1481"/>
    </row>
    <row r="71" spans="1:21" s="1486" customFormat="1" ht="60" x14ac:dyDescent="0.25">
      <c r="A71" s="1500"/>
      <c r="B71" s="1501">
        <v>68</v>
      </c>
      <c r="C71" s="1502" t="s">
        <v>2714</v>
      </c>
      <c r="D71" s="1502">
        <v>53332</v>
      </c>
      <c r="E71" s="1502" t="s">
        <v>287</v>
      </c>
      <c r="F71" s="1503" t="s">
        <v>2773</v>
      </c>
      <c r="G71" s="1504">
        <v>65.77</v>
      </c>
      <c r="H71" s="1504">
        <v>38.509095186000003</v>
      </c>
      <c r="I71" s="1504"/>
      <c r="J71" s="1504">
        <v>5.9244761519999996</v>
      </c>
      <c r="K71" s="1504">
        <f>I71+J71</f>
        <v>5.9244761519999996</v>
      </c>
      <c r="L71" s="1504">
        <f>+H71-K71</f>
        <v>32.584619034000006</v>
      </c>
      <c r="M71" s="1507" t="s">
        <v>2771</v>
      </c>
      <c r="N71" s="1508">
        <v>9.9500000000000005E-2</v>
      </c>
      <c r="O71" s="1508"/>
      <c r="P71" s="1509" t="s">
        <v>2741</v>
      </c>
      <c r="Q71" s="1510"/>
      <c r="R71" s="1511">
        <f t="shared" si="8"/>
        <v>17.773428455999998</v>
      </c>
      <c r="T71" s="1481"/>
      <c r="U71" s="1481"/>
    </row>
    <row r="72" spans="1:21" s="1486" customFormat="1" ht="60" x14ac:dyDescent="0.25">
      <c r="A72" s="1500"/>
      <c r="B72" s="1501">
        <v>69</v>
      </c>
      <c r="C72" s="1502" t="s">
        <v>2714</v>
      </c>
      <c r="D72" s="1502">
        <v>53333</v>
      </c>
      <c r="E72" s="1502" t="s">
        <v>288</v>
      </c>
      <c r="F72" s="1503" t="s">
        <v>2774</v>
      </c>
      <c r="G72" s="1504">
        <v>32.01</v>
      </c>
      <c r="H72" s="1504">
        <v>2.8924364000000001E-2</v>
      </c>
      <c r="I72" s="1504"/>
      <c r="J72" s="1504">
        <v>4.1320479999999993E-3</v>
      </c>
      <c r="K72" s="1504">
        <f t="shared" si="7"/>
        <v>4.1320479999999993E-3</v>
      </c>
      <c r="L72" s="1504">
        <f t="shared" si="6"/>
        <v>2.4792316000000002E-2</v>
      </c>
      <c r="M72" s="1507" t="s">
        <v>2759</v>
      </c>
      <c r="N72" s="1508">
        <v>0.1</v>
      </c>
      <c r="O72" s="1508"/>
      <c r="P72" s="1509" t="s">
        <v>2741</v>
      </c>
      <c r="Q72" s="1510"/>
      <c r="R72" s="1511">
        <f t="shared" si="8"/>
        <v>1.2396143999999998E-2</v>
      </c>
      <c r="T72" s="1481"/>
      <c r="U72" s="1481"/>
    </row>
    <row r="73" spans="1:21" s="1486" customFormat="1" ht="135" x14ac:dyDescent="0.25">
      <c r="A73" s="1500"/>
      <c r="B73" s="1501">
        <v>70</v>
      </c>
      <c r="C73" s="1502" t="s">
        <v>2714</v>
      </c>
      <c r="D73" s="1502">
        <v>53334</v>
      </c>
      <c r="E73" s="1502" t="s">
        <v>289</v>
      </c>
      <c r="F73" s="1503" t="s">
        <v>2775</v>
      </c>
      <c r="G73" s="1504">
        <v>18.189</v>
      </c>
      <c r="H73" s="1504">
        <v>14.421340975</v>
      </c>
      <c r="I73" s="1504"/>
      <c r="J73" s="1504">
        <v>1.9228455</v>
      </c>
      <c r="K73" s="1504">
        <f t="shared" si="7"/>
        <v>1.9228455</v>
      </c>
      <c r="L73" s="1504">
        <f t="shared" si="6"/>
        <v>12.498495475</v>
      </c>
      <c r="M73" s="1507" t="s">
        <v>2768</v>
      </c>
      <c r="N73" s="1508">
        <v>9.7500000000000003E-2</v>
      </c>
      <c r="O73" s="1508"/>
      <c r="P73" s="1509" t="s">
        <v>2741</v>
      </c>
      <c r="Q73" s="1510"/>
      <c r="R73" s="1511">
        <f t="shared" si="8"/>
        <v>5.7685364999999997</v>
      </c>
      <c r="T73" s="1481"/>
      <c r="U73" s="1481"/>
    </row>
    <row r="74" spans="1:21" s="1486" customFormat="1" ht="135" x14ac:dyDescent="0.25">
      <c r="A74" s="1500"/>
      <c r="B74" s="1501">
        <v>71</v>
      </c>
      <c r="C74" s="1502" t="s">
        <v>2714</v>
      </c>
      <c r="D74" s="1502">
        <v>53335</v>
      </c>
      <c r="E74" s="1502" t="s">
        <v>290</v>
      </c>
      <c r="F74" s="1503" t="s">
        <v>2776</v>
      </c>
      <c r="G74" s="1504">
        <v>56.24</v>
      </c>
      <c r="H74" s="1504">
        <v>33.025323351000004</v>
      </c>
      <c r="I74" s="1504"/>
      <c r="J74" s="1504">
        <v>5.0808191320000002</v>
      </c>
      <c r="K74" s="1504">
        <f t="shared" si="7"/>
        <v>5.0808191320000002</v>
      </c>
      <c r="L74" s="1504">
        <f t="shared" si="6"/>
        <v>27.944504219000002</v>
      </c>
      <c r="M74" s="1507" t="s">
        <v>2771</v>
      </c>
      <c r="N74" s="1508">
        <v>9.9199999999999997E-2</v>
      </c>
      <c r="O74" s="1508"/>
      <c r="P74" s="1509" t="s">
        <v>2741</v>
      </c>
      <c r="Q74" s="1510"/>
      <c r="R74" s="1511">
        <f t="shared" si="8"/>
        <v>15.242457396000001</v>
      </c>
      <c r="T74" s="1481"/>
      <c r="U74" s="1481"/>
    </row>
    <row r="75" spans="1:21" s="1486" customFormat="1" ht="60" x14ac:dyDescent="0.25">
      <c r="A75" s="1500"/>
      <c r="B75" s="1501">
        <v>72</v>
      </c>
      <c r="C75" s="1502" t="s">
        <v>2714</v>
      </c>
      <c r="D75" s="1502">
        <v>53336</v>
      </c>
      <c r="E75" s="1502" t="s">
        <v>291</v>
      </c>
      <c r="F75" s="1503" t="s">
        <v>2777</v>
      </c>
      <c r="G75" s="1504">
        <v>10.5</v>
      </c>
      <c r="H75" s="1504">
        <v>6.7761079229999988</v>
      </c>
      <c r="I75" s="1504"/>
      <c r="J75" s="1504">
        <v>0.96801543599999995</v>
      </c>
      <c r="K75" s="1504">
        <f t="shared" si="7"/>
        <v>0.96801543599999995</v>
      </c>
      <c r="L75" s="1504">
        <f t="shared" si="6"/>
        <v>5.8080924869999988</v>
      </c>
      <c r="M75" s="1507" t="s">
        <v>2759</v>
      </c>
      <c r="N75" s="1508">
        <v>9.7900000000000001E-2</v>
      </c>
      <c r="O75" s="1508"/>
      <c r="P75" s="1509" t="s">
        <v>2741</v>
      </c>
      <c r="Q75" s="1510"/>
      <c r="R75" s="1511">
        <f t="shared" si="8"/>
        <v>2.9040463079999999</v>
      </c>
      <c r="T75" s="1481"/>
      <c r="U75" s="1481"/>
    </row>
    <row r="76" spans="1:21" s="1486" customFormat="1" ht="60" x14ac:dyDescent="0.25">
      <c r="A76" s="1500"/>
      <c r="B76" s="1501">
        <v>73</v>
      </c>
      <c r="C76" s="1502" t="s">
        <v>2714</v>
      </c>
      <c r="D76" s="1502">
        <v>53337</v>
      </c>
      <c r="E76" s="1502" t="s">
        <v>292</v>
      </c>
      <c r="F76" s="1503" t="s">
        <v>2778</v>
      </c>
      <c r="G76" s="1504">
        <v>12.31</v>
      </c>
      <c r="H76" s="1504">
        <v>7.9750916520000015</v>
      </c>
      <c r="I76" s="1504"/>
      <c r="J76" s="1504">
        <v>1.1392988639999999</v>
      </c>
      <c r="K76" s="1504">
        <f t="shared" si="7"/>
        <v>1.1392988639999999</v>
      </c>
      <c r="L76" s="1504">
        <f t="shared" si="6"/>
        <v>6.8357927880000018</v>
      </c>
      <c r="M76" s="1507" t="s">
        <v>2759</v>
      </c>
      <c r="N76" s="1508">
        <v>9.9099999999999994E-2</v>
      </c>
      <c r="O76" s="1508"/>
      <c r="P76" s="1509" t="s">
        <v>2741</v>
      </c>
      <c r="Q76" s="1510"/>
      <c r="R76" s="1511">
        <f t="shared" si="8"/>
        <v>3.417896592</v>
      </c>
      <c r="T76" s="1481"/>
      <c r="U76" s="1481"/>
    </row>
    <row r="77" spans="1:21" s="1486" customFormat="1" ht="60" x14ac:dyDescent="0.25">
      <c r="A77" s="1500"/>
      <c r="B77" s="1501">
        <v>74</v>
      </c>
      <c r="C77" s="1502" t="s">
        <v>2714</v>
      </c>
      <c r="D77" s="1502">
        <v>53338</v>
      </c>
      <c r="E77" s="1502" t="s">
        <v>293</v>
      </c>
      <c r="F77" s="1503" t="s">
        <v>2779</v>
      </c>
      <c r="G77" s="1504">
        <v>12.98</v>
      </c>
      <c r="H77" s="1504">
        <v>8.4047898249999999</v>
      </c>
      <c r="I77" s="1504"/>
      <c r="J77" s="1504">
        <v>1.1356784559999999</v>
      </c>
      <c r="K77" s="1504">
        <f t="shared" si="7"/>
        <v>1.1356784559999999</v>
      </c>
      <c r="L77" s="1504">
        <f t="shared" si="6"/>
        <v>7.269111369</v>
      </c>
      <c r="M77" s="1507" t="s">
        <v>2771</v>
      </c>
      <c r="N77" s="1508">
        <v>9.8199999999999996E-2</v>
      </c>
      <c r="O77" s="1508"/>
      <c r="P77" s="1509" t="s">
        <v>2741</v>
      </c>
      <c r="Q77" s="1510"/>
      <c r="R77" s="1511">
        <f t="shared" si="8"/>
        <v>3.4070353679999998</v>
      </c>
      <c r="T77" s="1481"/>
      <c r="U77" s="1481"/>
    </row>
    <row r="78" spans="1:21" s="1486" customFormat="1" ht="60" x14ac:dyDescent="0.25">
      <c r="A78" s="1500"/>
      <c r="B78" s="1501">
        <v>75</v>
      </c>
      <c r="C78" s="1502" t="s">
        <v>2714</v>
      </c>
      <c r="D78" s="1502">
        <v>53339</v>
      </c>
      <c r="E78" s="1502" t="s">
        <v>294</v>
      </c>
      <c r="F78" s="1503" t="s">
        <v>2780</v>
      </c>
      <c r="G78" s="1504">
        <v>16.71</v>
      </c>
      <c r="H78" s="1504">
        <v>10.151325</v>
      </c>
      <c r="I78" s="1504"/>
      <c r="J78" s="1504">
        <v>1.5038999999999998</v>
      </c>
      <c r="K78" s="1504">
        <f t="shared" si="7"/>
        <v>1.5038999999999998</v>
      </c>
      <c r="L78" s="1504">
        <f t="shared" si="6"/>
        <v>8.6474250000000001</v>
      </c>
      <c r="M78" s="1507" t="s">
        <v>2755</v>
      </c>
      <c r="N78" s="1508">
        <v>0.1009</v>
      </c>
      <c r="O78" s="1508"/>
      <c r="P78" s="1509" t="s">
        <v>2741</v>
      </c>
      <c r="Q78" s="1510"/>
      <c r="R78" s="1511">
        <f t="shared" si="8"/>
        <v>4.5116999999999994</v>
      </c>
      <c r="T78" s="1481"/>
      <c r="U78" s="1481"/>
    </row>
    <row r="79" spans="1:21" s="1486" customFormat="1" ht="75" x14ac:dyDescent="0.25">
      <c r="A79" s="1500"/>
      <c r="B79" s="1501">
        <v>76</v>
      </c>
      <c r="C79" s="1502" t="s">
        <v>2714</v>
      </c>
      <c r="D79" s="1502">
        <v>53341</v>
      </c>
      <c r="E79" s="1502" t="s">
        <v>295</v>
      </c>
      <c r="F79" s="1503" t="s">
        <v>2781</v>
      </c>
      <c r="G79" s="1504">
        <v>27.51</v>
      </c>
      <c r="H79" s="1504">
        <v>7.2962943139999989</v>
      </c>
      <c r="I79" s="1504"/>
      <c r="J79" s="1504">
        <v>1.0809326480000003</v>
      </c>
      <c r="K79" s="1504">
        <f t="shared" si="7"/>
        <v>1.0809326480000003</v>
      </c>
      <c r="L79" s="1504">
        <f t="shared" si="6"/>
        <v>6.2153616659999988</v>
      </c>
      <c r="M79" s="1507" t="s">
        <v>2755</v>
      </c>
      <c r="N79" s="1508">
        <v>9.98E-2</v>
      </c>
      <c r="O79" s="1508"/>
      <c r="P79" s="1509" t="s">
        <v>2741</v>
      </c>
      <c r="Q79" s="1510"/>
      <c r="R79" s="1511">
        <f t="shared" si="8"/>
        <v>3.2427979440000012</v>
      </c>
      <c r="T79" s="1481"/>
      <c r="U79" s="1481"/>
    </row>
    <row r="80" spans="1:21" s="1486" customFormat="1" ht="90" x14ac:dyDescent="0.25">
      <c r="A80" s="1500"/>
      <c r="B80" s="1501">
        <v>77</v>
      </c>
      <c r="C80" s="1502" t="s">
        <v>2714</v>
      </c>
      <c r="D80" s="1502">
        <v>53343</v>
      </c>
      <c r="E80" s="1502" t="s">
        <v>296</v>
      </c>
      <c r="F80" s="1503" t="s">
        <v>2782</v>
      </c>
      <c r="G80" s="1504">
        <v>14.8</v>
      </c>
      <c r="H80" s="1504">
        <v>9.2326403190000015</v>
      </c>
      <c r="I80" s="1504"/>
      <c r="J80" s="1504">
        <v>1.3677985079999999</v>
      </c>
      <c r="K80" s="1504">
        <f t="shared" si="7"/>
        <v>1.3677985079999999</v>
      </c>
      <c r="L80" s="1504">
        <f t="shared" si="6"/>
        <v>7.8648418110000016</v>
      </c>
      <c r="M80" s="1507" t="s">
        <v>2755</v>
      </c>
      <c r="N80" s="1508">
        <v>9.9900000000000003E-2</v>
      </c>
      <c r="O80" s="1508"/>
      <c r="P80" s="1509" t="s">
        <v>2741</v>
      </c>
      <c r="Q80" s="1510"/>
      <c r="R80" s="1511">
        <f t="shared" si="8"/>
        <v>4.1033955239999997</v>
      </c>
      <c r="T80" s="1481"/>
      <c r="U80" s="1481"/>
    </row>
    <row r="81" spans="1:21" s="1486" customFormat="1" ht="105" x14ac:dyDescent="0.25">
      <c r="A81" s="1500"/>
      <c r="B81" s="1501">
        <v>78</v>
      </c>
      <c r="C81" s="1502" t="s">
        <v>2714</v>
      </c>
      <c r="D81" s="1502">
        <v>53344</v>
      </c>
      <c r="E81" s="1502" t="s">
        <v>297</v>
      </c>
      <c r="F81" s="1503" t="s">
        <v>2783</v>
      </c>
      <c r="G81" s="1504">
        <v>17.739999999999998</v>
      </c>
      <c r="H81" s="1504">
        <v>11.468321465000001</v>
      </c>
      <c r="I81" s="1504"/>
      <c r="J81" s="1504">
        <v>1.6990105800000002</v>
      </c>
      <c r="K81" s="1504">
        <f t="shared" si="7"/>
        <v>1.6990105800000002</v>
      </c>
      <c r="L81" s="1504">
        <f t="shared" si="6"/>
        <v>9.7693108850000012</v>
      </c>
      <c r="M81" s="1507" t="s">
        <v>2755</v>
      </c>
      <c r="N81" s="1508">
        <v>9.9699999999999997E-2</v>
      </c>
      <c r="O81" s="1508"/>
      <c r="P81" s="1509" t="s">
        <v>2741</v>
      </c>
      <c r="Q81" s="1510"/>
      <c r="R81" s="1511">
        <f t="shared" si="8"/>
        <v>5.0970317400000003</v>
      </c>
      <c r="T81" s="1481"/>
      <c r="U81" s="1481"/>
    </row>
    <row r="82" spans="1:21" s="1486" customFormat="1" ht="120" x14ac:dyDescent="0.25">
      <c r="A82" s="1500"/>
      <c r="B82" s="1501">
        <v>79</v>
      </c>
      <c r="C82" s="1502" t="s">
        <v>2714</v>
      </c>
      <c r="D82" s="1502">
        <v>53345</v>
      </c>
      <c r="E82" s="1502" t="s">
        <v>298</v>
      </c>
      <c r="F82" s="1503" t="s">
        <v>2784</v>
      </c>
      <c r="G82" s="1504">
        <v>38.1</v>
      </c>
      <c r="H82" s="1504">
        <v>24.002999894000002</v>
      </c>
      <c r="I82" s="1504"/>
      <c r="J82" s="1504">
        <v>3.4290000079999996</v>
      </c>
      <c r="K82" s="1504">
        <f t="shared" si="7"/>
        <v>3.4290000079999996</v>
      </c>
      <c r="L82" s="1504">
        <f t="shared" si="6"/>
        <v>20.573999886000003</v>
      </c>
      <c r="M82" s="1507" t="s">
        <v>2759</v>
      </c>
      <c r="N82" s="1508">
        <v>9.9000000000000005E-2</v>
      </c>
      <c r="O82" s="1508"/>
      <c r="P82" s="1509" t="s">
        <v>2741</v>
      </c>
      <c r="Q82" s="1510"/>
      <c r="R82" s="1511">
        <f t="shared" si="8"/>
        <v>10.287000023999999</v>
      </c>
      <c r="T82" s="1481"/>
      <c r="U82" s="1481"/>
    </row>
    <row r="83" spans="1:21" s="1486" customFormat="1" ht="165" x14ac:dyDescent="0.25">
      <c r="A83" s="1500"/>
      <c r="B83" s="1501">
        <v>80</v>
      </c>
      <c r="C83" s="1502" t="s">
        <v>2714</v>
      </c>
      <c r="D83" s="1502">
        <v>53346</v>
      </c>
      <c r="E83" s="1502" t="s">
        <v>299</v>
      </c>
      <c r="F83" s="1503" t="s">
        <v>2785</v>
      </c>
      <c r="G83" s="1504">
        <v>10.39</v>
      </c>
      <c r="H83" s="1504">
        <v>7.6642182600000011</v>
      </c>
      <c r="I83" s="1504"/>
      <c r="J83" s="1504">
        <v>1.0948883200000001</v>
      </c>
      <c r="K83" s="1504">
        <f t="shared" si="7"/>
        <v>1.0948883200000001</v>
      </c>
      <c r="L83" s="1504">
        <f t="shared" si="6"/>
        <v>6.5693299400000011</v>
      </c>
      <c r="M83" s="1507" t="s">
        <v>2759</v>
      </c>
      <c r="N83" s="1508">
        <v>9.7600000000000006E-2</v>
      </c>
      <c r="O83" s="1508"/>
      <c r="P83" s="1509" t="s">
        <v>2741</v>
      </c>
      <c r="Q83" s="1510"/>
      <c r="R83" s="1511">
        <f t="shared" si="8"/>
        <v>3.2846649600000006</v>
      </c>
      <c r="T83" s="1481"/>
      <c r="U83" s="1481"/>
    </row>
    <row r="84" spans="1:21" s="1486" customFormat="1" ht="180" x14ac:dyDescent="0.25">
      <c r="A84" s="1500"/>
      <c r="B84" s="1501">
        <v>81</v>
      </c>
      <c r="C84" s="1502" t="s">
        <v>2714</v>
      </c>
      <c r="D84" s="1502">
        <v>53347</v>
      </c>
      <c r="E84" s="1502" t="s">
        <v>300</v>
      </c>
      <c r="F84" s="1503" t="s">
        <v>2786</v>
      </c>
      <c r="G84" s="1504">
        <v>29.2</v>
      </c>
      <c r="H84" s="1504">
        <v>6.3271706629999978</v>
      </c>
      <c r="I84" s="1504"/>
      <c r="J84" s="1504">
        <v>0.903881516</v>
      </c>
      <c r="K84" s="1504">
        <f t="shared" si="7"/>
        <v>0.903881516</v>
      </c>
      <c r="L84" s="1504">
        <f t="shared" si="6"/>
        <v>5.4232891469999975</v>
      </c>
      <c r="M84" s="1507" t="s">
        <v>2759</v>
      </c>
      <c r="N84" s="1508">
        <v>0.1</v>
      </c>
      <c r="O84" s="1508"/>
      <c r="P84" s="1509" t="s">
        <v>2741</v>
      </c>
      <c r="Q84" s="1510"/>
      <c r="R84" s="1511">
        <f t="shared" si="8"/>
        <v>2.7116445479999998</v>
      </c>
      <c r="T84" s="1481"/>
      <c r="U84" s="1481"/>
    </row>
    <row r="85" spans="1:21" s="1486" customFormat="1" ht="150" x14ac:dyDescent="0.25">
      <c r="A85" s="1500"/>
      <c r="B85" s="1501">
        <v>82</v>
      </c>
      <c r="C85" s="1502" t="s">
        <v>2714</v>
      </c>
      <c r="D85" s="1502">
        <v>53348</v>
      </c>
      <c r="E85" s="1502" t="s">
        <v>301</v>
      </c>
      <c r="F85" s="1503" t="s">
        <v>2787</v>
      </c>
      <c r="G85" s="1504">
        <v>21.19</v>
      </c>
      <c r="H85" s="1504">
        <v>13.266751065999999</v>
      </c>
      <c r="I85" s="1504"/>
      <c r="J85" s="1504">
        <v>1.9654447119999998</v>
      </c>
      <c r="K85" s="1504">
        <f t="shared" si="7"/>
        <v>1.9654447119999998</v>
      </c>
      <c r="L85" s="1504">
        <f t="shared" si="6"/>
        <v>11.301306353999999</v>
      </c>
      <c r="M85" s="1507" t="s">
        <v>2755</v>
      </c>
      <c r="N85" s="1508">
        <v>9.8400000000000001E-2</v>
      </c>
      <c r="O85" s="1508"/>
      <c r="P85" s="1509" t="s">
        <v>2741</v>
      </c>
      <c r="Q85" s="1510"/>
      <c r="R85" s="1511">
        <f t="shared" si="8"/>
        <v>5.8963341359999992</v>
      </c>
      <c r="T85" s="1481"/>
      <c r="U85" s="1481"/>
    </row>
    <row r="86" spans="1:21" s="1486" customFormat="1" ht="60" x14ac:dyDescent="0.25">
      <c r="A86" s="1500"/>
      <c r="B86" s="1501">
        <v>83</v>
      </c>
      <c r="C86" s="1502" t="s">
        <v>2714</v>
      </c>
      <c r="D86" s="1502">
        <v>53349</v>
      </c>
      <c r="E86" s="1502" t="s">
        <v>302</v>
      </c>
      <c r="F86" s="1503" t="s">
        <v>2788</v>
      </c>
      <c r="G86" s="1504">
        <v>15.489000000000001</v>
      </c>
      <c r="H86" s="1504">
        <v>14.327324900000001</v>
      </c>
      <c r="I86" s="1504"/>
      <c r="J86" s="1504">
        <f>H86/120*7</f>
        <v>0.83576061916666677</v>
      </c>
      <c r="K86" s="1504">
        <f t="shared" si="7"/>
        <v>0.83576061916666677</v>
      </c>
      <c r="L86" s="1504">
        <f t="shared" si="6"/>
        <v>13.491564280833334</v>
      </c>
      <c r="M86" s="1507" t="s">
        <v>2789</v>
      </c>
      <c r="N86" s="1508">
        <v>0.1016</v>
      </c>
      <c r="O86" s="1508"/>
      <c r="P86" s="1509" t="s">
        <v>2741</v>
      </c>
      <c r="Q86" s="1510"/>
      <c r="R86" s="1511">
        <f t="shared" si="8"/>
        <v>2.5072818575000002</v>
      </c>
      <c r="T86" s="1481"/>
      <c r="U86" s="1481"/>
    </row>
    <row r="87" spans="1:21" s="1486" customFormat="1" ht="105" x14ac:dyDescent="0.25">
      <c r="A87" s="1500"/>
      <c r="B87" s="1501">
        <v>84</v>
      </c>
      <c r="C87" s="1502" t="s">
        <v>2714</v>
      </c>
      <c r="D87" s="1502">
        <v>53350</v>
      </c>
      <c r="E87" s="1502" t="s">
        <v>303</v>
      </c>
      <c r="F87" s="1503" t="s">
        <v>2790</v>
      </c>
      <c r="G87" s="1504">
        <v>9.7100000000000009</v>
      </c>
      <c r="H87" s="1504">
        <v>2.0115056510000007</v>
      </c>
      <c r="I87" s="1504"/>
      <c r="J87" s="1504">
        <v>0.30946233200000001</v>
      </c>
      <c r="K87" s="1504">
        <f t="shared" si="7"/>
        <v>0.30946233200000001</v>
      </c>
      <c r="L87" s="1504">
        <f t="shared" si="6"/>
        <v>1.7020433190000006</v>
      </c>
      <c r="M87" s="1507" t="s">
        <v>2771</v>
      </c>
      <c r="N87" s="1508">
        <v>9.9500000000000005E-2</v>
      </c>
      <c r="O87" s="1508"/>
      <c r="P87" s="1509" t="s">
        <v>2741</v>
      </c>
      <c r="Q87" s="1510"/>
      <c r="R87" s="1511">
        <f t="shared" si="8"/>
        <v>0.92838699599999996</v>
      </c>
      <c r="T87" s="1481"/>
      <c r="U87" s="1481"/>
    </row>
    <row r="88" spans="1:21" s="1486" customFormat="1" ht="90" x14ac:dyDescent="0.25">
      <c r="A88" s="1500"/>
      <c r="B88" s="1501">
        <v>85</v>
      </c>
      <c r="C88" s="1502" t="s">
        <v>2714</v>
      </c>
      <c r="D88" s="1502">
        <v>53351</v>
      </c>
      <c r="E88" s="1502" t="s">
        <v>304</v>
      </c>
      <c r="F88" s="1503" t="s">
        <v>2791</v>
      </c>
      <c r="G88" s="1504">
        <v>20.399999999999999</v>
      </c>
      <c r="H88" s="1504">
        <v>13.9640583</v>
      </c>
      <c r="I88" s="1504"/>
      <c r="J88" s="1504">
        <f>H88/120*1</f>
        <v>0.1163671525</v>
      </c>
      <c r="K88" s="1504">
        <f t="shared" si="7"/>
        <v>0.1163671525</v>
      </c>
      <c r="L88" s="1504">
        <f t="shared" si="6"/>
        <v>13.847691147499999</v>
      </c>
      <c r="M88" s="1507" t="s">
        <v>2792</v>
      </c>
      <c r="N88" s="1508">
        <v>9.8000000000000004E-2</v>
      </c>
      <c r="O88" s="1508"/>
      <c r="P88" s="1509" t="s">
        <v>2741</v>
      </c>
      <c r="Q88" s="1510"/>
      <c r="R88" s="1511">
        <f>H88/120*25</f>
        <v>2.9091788125</v>
      </c>
      <c r="T88" s="1481"/>
      <c r="U88" s="1481"/>
    </row>
    <row r="89" spans="1:21" s="1486" customFormat="1" ht="90" x14ac:dyDescent="0.25">
      <c r="A89" s="1500"/>
      <c r="B89" s="1501">
        <v>86</v>
      </c>
      <c r="C89" s="1502" t="s">
        <v>2714</v>
      </c>
      <c r="D89" s="1502">
        <v>53352</v>
      </c>
      <c r="E89" s="1502" t="s">
        <v>305</v>
      </c>
      <c r="F89" s="1503" t="s">
        <v>2793</v>
      </c>
      <c r="G89" s="1504">
        <v>137.208</v>
      </c>
      <c r="H89" s="1504">
        <v>100.16412423299997</v>
      </c>
      <c r="I89" s="1504"/>
      <c r="J89" s="1504">
        <v>13.815741556000006</v>
      </c>
      <c r="K89" s="1504">
        <f t="shared" si="7"/>
        <v>13.815741556000006</v>
      </c>
      <c r="L89" s="1504">
        <f t="shared" si="6"/>
        <v>86.348382676999961</v>
      </c>
      <c r="M89" s="1507" t="s">
        <v>2794</v>
      </c>
      <c r="N89" s="1508">
        <v>9.8799999999999999E-2</v>
      </c>
      <c r="O89" s="1508"/>
      <c r="P89" s="1509" t="s">
        <v>2741</v>
      </c>
      <c r="Q89" s="1510"/>
      <c r="R89" s="1511">
        <f>J89*3</f>
        <v>41.447224668000018</v>
      </c>
      <c r="T89" s="1481"/>
      <c r="U89" s="1481"/>
    </row>
    <row r="90" spans="1:21" s="1486" customFormat="1" ht="105" x14ac:dyDescent="0.25">
      <c r="A90" s="1500"/>
      <c r="B90" s="1501">
        <v>87</v>
      </c>
      <c r="C90" s="1502" t="s">
        <v>2714</v>
      </c>
      <c r="D90" s="1502">
        <v>53354</v>
      </c>
      <c r="E90" s="1502" t="s">
        <v>306</v>
      </c>
      <c r="F90" s="1503" t="s">
        <v>2795</v>
      </c>
      <c r="G90" s="1504">
        <v>21.376000000000001</v>
      </c>
      <c r="H90" s="1504">
        <v>16.857282652000002</v>
      </c>
      <c r="I90" s="1504"/>
      <c r="J90" s="1504">
        <v>2.3251424640000002</v>
      </c>
      <c r="K90" s="1504">
        <f>I90+J90</f>
        <v>2.3251424640000002</v>
      </c>
      <c r="L90" s="1504">
        <f>+H90-K90</f>
        <v>14.532140188000001</v>
      </c>
      <c r="M90" s="1507" t="s">
        <v>2794</v>
      </c>
      <c r="N90" s="1508">
        <v>9.7500000000000003E-2</v>
      </c>
      <c r="O90" s="1508"/>
      <c r="P90" s="1509" t="s">
        <v>2741</v>
      </c>
      <c r="Q90" s="1510"/>
      <c r="R90" s="1511">
        <f t="shared" si="8"/>
        <v>6.9754273920000003</v>
      </c>
      <c r="T90" s="1481"/>
      <c r="U90" s="1481"/>
    </row>
    <row r="91" spans="1:21" s="1486" customFormat="1" ht="60" x14ac:dyDescent="0.25">
      <c r="A91" s="1500"/>
      <c r="B91" s="1501">
        <v>88</v>
      </c>
      <c r="C91" s="1502" t="s">
        <v>2714</v>
      </c>
      <c r="D91" s="1502">
        <v>53355</v>
      </c>
      <c r="E91" s="1502" t="s">
        <v>307</v>
      </c>
      <c r="F91" s="1503" t="s">
        <v>2796</v>
      </c>
      <c r="G91" s="1504">
        <v>10.512</v>
      </c>
      <c r="H91" s="1504">
        <v>7.7380811299999985</v>
      </c>
      <c r="I91" s="1504"/>
      <c r="J91" s="1504">
        <v>1.0673215599999999</v>
      </c>
      <c r="K91" s="1504">
        <f>I91+J91</f>
        <v>1.0673215599999999</v>
      </c>
      <c r="L91" s="1504">
        <f>+H91-K91</f>
        <v>6.6707595699999986</v>
      </c>
      <c r="M91" s="1507" t="s">
        <v>2794</v>
      </c>
      <c r="N91" s="1508">
        <v>9.7500000000000003E-2</v>
      </c>
      <c r="O91" s="1508"/>
      <c r="P91" s="1509" t="s">
        <v>2741</v>
      </c>
      <c r="Q91" s="1510"/>
      <c r="R91" s="1511">
        <f t="shared" si="8"/>
        <v>3.2019646799999997</v>
      </c>
      <c r="T91" s="1481"/>
      <c r="U91" s="1481"/>
    </row>
    <row r="92" spans="1:21" s="1486" customFormat="1" ht="135" x14ac:dyDescent="0.25">
      <c r="A92" s="1500"/>
      <c r="B92" s="1501">
        <v>89</v>
      </c>
      <c r="C92" s="1502" t="s">
        <v>2714</v>
      </c>
      <c r="D92" s="1502">
        <v>53356</v>
      </c>
      <c r="E92" s="1502" t="s">
        <v>308</v>
      </c>
      <c r="F92" s="1503" t="s">
        <v>2797</v>
      </c>
      <c r="G92" s="1504">
        <v>11.88</v>
      </c>
      <c r="H92" s="1504">
        <v>9.2294084110000014</v>
      </c>
      <c r="I92" s="1504"/>
      <c r="J92" s="1504">
        <v>1.1908914520000002</v>
      </c>
      <c r="K92" s="1504">
        <f>I92+J92</f>
        <v>1.1908914520000002</v>
      </c>
      <c r="L92" s="1504">
        <f>+H92-K92</f>
        <v>8.0385169590000007</v>
      </c>
      <c r="M92" s="1507" t="s">
        <v>2798</v>
      </c>
      <c r="N92" s="1508">
        <v>9.9000000000000005E-2</v>
      </c>
      <c r="O92" s="1508"/>
      <c r="P92" s="1509" t="s">
        <v>2741</v>
      </c>
      <c r="Q92" s="1510"/>
      <c r="R92" s="1511">
        <f t="shared" si="8"/>
        <v>3.5726743560000007</v>
      </c>
      <c r="T92" s="1481"/>
      <c r="U92" s="1481"/>
    </row>
    <row r="93" spans="1:21" s="1486" customFormat="1" ht="90" x14ac:dyDescent="0.25">
      <c r="A93" s="1500"/>
      <c r="B93" s="1501">
        <v>90</v>
      </c>
      <c r="C93" s="1502" t="s">
        <v>2714</v>
      </c>
      <c r="D93" s="1502">
        <v>53357</v>
      </c>
      <c r="E93" s="1502" t="s">
        <v>309</v>
      </c>
      <c r="F93" s="1503" t="s">
        <v>2799</v>
      </c>
      <c r="G93" s="1504">
        <v>8.92</v>
      </c>
      <c r="H93" s="1504">
        <v>8.3996668999999997</v>
      </c>
      <c r="I93" s="1504"/>
      <c r="J93" s="1504">
        <f>H93/120*7</f>
        <v>0.48998056916666666</v>
      </c>
      <c r="K93" s="1504">
        <f t="shared" si="7"/>
        <v>0.48998056916666666</v>
      </c>
      <c r="L93" s="1504">
        <f t="shared" si="6"/>
        <v>7.9096863308333329</v>
      </c>
      <c r="M93" s="1507" t="s">
        <v>2800</v>
      </c>
      <c r="N93" s="1508">
        <v>9.7299999999999998E-2</v>
      </c>
      <c r="O93" s="1508"/>
      <c r="P93" s="1509" t="s">
        <v>2741</v>
      </c>
      <c r="Q93" s="1510"/>
      <c r="R93" s="1511">
        <f>H93/120*31</f>
        <v>2.1699139491666664</v>
      </c>
      <c r="T93" s="1481"/>
      <c r="U93" s="1481"/>
    </row>
    <row r="94" spans="1:21" s="1486" customFormat="1" ht="60" x14ac:dyDescent="0.25">
      <c r="A94" s="1500"/>
      <c r="B94" s="1501">
        <v>91</v>
      </c>
      <c r="C94" s="1502" t="s">
        <v>2714</v>
      </c>
      <c r="D94" s="1502">
        <v>53358</v>
      </c>
      <c r="E94" s="1502" t="s">
        <v>310</v>
      </c>
      <c r="F94" s="1503" t="s">
        <v>2801</v>
      </c>
      <c r="G94" s="1504">
        <v>8.984</v>
      </c>
      <c r="H94" s="1504">
        <v>6.8404682549999984</v>
      </c>
      <c r="I94" s="1504"/>
      <c r="J94" s="1504">
        <v>0.94351286000000001</v>
      </c>
      <c r="K94" s="1504">
        <f t="shared" si="7"/>
        <v>0.94351286000000001</v>
      </c>
      <c r="L94" s="1504">
        <f t="shared" si="6"/>
        <v>5.8969553949999982</v>
      </c>
      <c r="M94" s="1507" t="s">
        <v>2794</v>
      </c>
      <c r="N94" s="1508">
        <v>9.7500000000000003E-2</v>
      </c>
      <c r="O94" s="1508"/>
      <c r="P94" s="1509" t="s">
        <v>2741</v>
      </c>
      <c r="Q94" s="1510"/>
      <c r="R94" s="1511">
        <f t="shared" si="8"/>
        <v>2.8305385799999998</v>
      </c>
      <c r="T94" s="1481"/>
      <c r="U94" s="1481"/>
    </row>
    <row r="95" spans="1:21" s="1486" customFormat="1" ht="60" x14ac:dyDescent="0.25">
      <c r="A95" s="1500"/>
      <c r="B95" s="1501">
        <v>92</v>
      </c>
      <c r="C95" s="1502" t="s">
        <v>2714</v>
      </c>
      <c r="D95" s="1502">
        <v>53359</v>
      </c>
      <c r="E95" s="1502" t="s">
        <v>311</v>
      </c>
      <c r="F95" s="1503" t="s">
        <v>2802</v>
      </c>
      <c r="G95" s="1504">
        <v>11.103999999999999</v>
      </c>
      <c r="H95" s="1504">
        <v>8.9098401819999999</v>
      </c>
      <c r="I95" s="1504"/>
      <c r="J95" s="1504">
        <v>1.1137300240000001</v>
      </c>
      <c r="K95" s="1504">
        <f>I95+J95</f>
        <v>1.1137300240000001</v>
      </c>
      <c r="L95" s="1504">
        <f>+H95-K95</f>
        <v>7.7961101579999994</v>
      </c>
      <c r="M95" s="1507" t="s">
        <v>2803</v>
      </c>
      <c r="N95" s="1508">
        <v>9.7500000000000003E-2</v>
      </c>
      <c r="O95" s="1508"/>
      <c r="P95" s="1509" t="s">
        <v>2741</v>
      </c>
      <c r="Q95" s="1510"/>
      <c r="R95" s="1511">
        <f t="shared" si="8"/>
        <v>3.3411900720000003</v>
      </c>
      <c r="T95" s="1481"/>
      <c r="U95" s="1481"/>
    </row>
    <row r="96" spans="1:21" s="1486" customFormat="1" ht="60" x14ac:dyDescent="0.25">
      <c r="A96" s="1500"/>
      <c r="B96" s="1501">
        <v>93</v>
      </c>
      <c r="C96" s="1502" t="s">
        <v>2714</v>
      </c>
      <c r="D96" s="1502">
        <v>53360</v>
      </c>
      <c r="E96" s="1502" t="s">
        <v>312</v>
      </c>
      <c r="F96" s="1503" t="s">
        <v>2804</v>
      </c>
      <c r="G96" s="1504">
        <v>13.183999999999999</v>
      </c>
      <c r="H96" s="1504">
        <v>10.065436234</v>
      </c>
      <c r="I96" s="1504"/>
      <c r="J96" s="1504">
        <v>1.3883360880000002</v>
      </c>
      <c r="K96" s="1504">
        <f>I96+J96</f>
        <v>1.3883360880000002</v>
      </c>
      <c r="L96" s="1504">
        <f>+H96-K96</f>
        <v>8.677100145999999</v>
      </c>
      <c r="M96" s="1507" t="s">
        <v>2794</v>
      </c>
      <c r="N96" s="1508">
        <v>9.8100000000000007E-2</v>
      </c>
      <c r="O96" s="1508"/>
      <c r="P96" s="1509" t="s">
        <v>2741</v>
      </c>
      <c r="Q96" s="1510"/>
      <c r="R96" s="1511">
        <f t="shared" si="8"/>
        <v>4.1650082640000008</v>
      </c>
      <c r="T96" s="1481"/>
      <c r="U96" s="1481"/>
    </row>
    <row r="97" spans="1:21" s="1486" customFormat="1" ht="60" x14ac:dyDescent="0.25">
      <c r="A97" s="1500"/>
      <c r="B97" s="1501">
        <v>94</v>
      </c>
      <c r="C97" s="1502" t="s">
        <v>2714</v>
      </c>
      <c r="D97" s="1502">
        <v>53361</v>
      </c>
      <c r="E97" s="1502" t="s">
        <v>313</v>
      </c>
      <c r="F97" s="1503" t="s">
        <v>2805</v>
      </c>
      <c r="G97" s="1504">
        <v>15.08</v>
      </c>
      <c r="H97" s="1504">
        <v>11.727524037</v>
      </c>
      <c r="I97" s="1504"/>
      <c r="J97" s="1504">
        <v>1.5132288839999999</v>
      </c>
      <c r="K97" s="1504">
        <f>I97+J97</f>
        <v>1.5132288839999999</v>
      </c>
      <c r="L97" s="1504">
        <f>+H97-K97</f>
        <v>10.214295153</v>
      </c>
      <c r="M97" s="1507" t="s">
        <v>2798</v>
      </c>
      <c r="N97" s="1508">
        <v>9.7500000000000003E-2</v>
      </c>
      <c r="O97" s="1508"/>
      <c r="P97" s="1509" t="s">
        <v>2741</v>
      </c>
      <c r="Q97" s="1510"/>
      <c r="R97" s="1511">
        <f t="shared" si="8"/>
        <v>4.5396866519999994</v>
      </c>
      <c r="T97" s="1481"/>
      <c r="U97" s="1481"/>
    </row>
    <row r="98" spans="1:21" s="1486" customFormat="1" ht="60" x14ac:dyDescent="0.25">
      <c r="A98" s="1500"/>
      <c r="B98" s="1501">
        <v>95</v>
      </c>
      <c r="C98" s="1502" t="s">
        <v>2714</v>
      </c>
      <c r="D98" s="1502">
        <v>53362</v>
      </c>
      <c r="E98" s="1502" t="s">
        <v>314</v>
      </c>
      <c r="F98" s="1503" t="s">
        <v>2806</v>
      </c>
      <c r="G98" s="1504">
        <v>11.084</v>
      </c>
      <c r="H98" s="1504">
        <v>8.183585579999999</v>
      </c>
      <c r="I98" s="1504"/>
      <c r="J98" s="1504">
        <v>1.1287705600000002</v>
      </c>
      <c r="K98" s="1504">
        <f t="shared" si="7"/>
        <v>1.1287705600000002</v>
      </c>
      <c r="L98" s="1504">
        <f t="shared" si="6"/>
        <v>7.0548150199999986</v>
      </c>
      <c r="M98" s="1507" t="s">
        <v>2794</v>
      </c>
      <c r="N98" s="1508">
        <v>9.7600000000000006E-2</v>
      </c>
      <c r="O98" s="1508"/>
      <c r="P98" s="1509" t="s">
        <v>2741</v>
      </c>
      <c r="Q98" s="1510"/>
      <c r="R98" s="1511">
        <f t="shared" si="8"/>
        <v>3.3863116800000004</v>
      </c>
      <c r="T98" s="1481"/>
      <c r="U98" s="1481"/>
    </row>
    <row r="99" spans="1:21" s="1486" customFormat="1" ht="90" x14ac:dyDescent="0.25">
      <c r="A99" s="1500"/>
      <c r="B99" s="1501">
        <v>96</v>
      </c>
      <c r="C99" s="1502" t="s">
        <v>2714</v>
      </c>
      <c r="D99" s="1502">
        <v>53364</v>
      </c>
      <c r="E99" s="1502" t="s">
        <v>315</v>
      </c>
      <c r="F99" s="1503" t="s">
        <v>2807</v>
      </c>
      <c r="G99" s="1504">
        <v>51.375999999999998</v>
      </c>
      <c r="H99" s="1504">
        <v>37.247599994000005</v>
      </c>
      <c r="I99" s="1504"/>
      <c r="J99" s="1504">
        <v>5.1376000079999997</v>
      </c>
      <c r="K99" s="1504">
        <f>I99+J99</f>
        <v>5.1376000079999997</v>
      </c>
      <c r="L99" s="1504">
        <f>+H99-K99</f>
        <v>32.109999986000005</v>
      </c>
      <c r="M99" s="1507" t="s">
        <v>2794</v>
      </c>
      <c r="N99" s="1508">
        <v>9.7500000000000003E-2</v>
      </c>
      <c r="O99" s="1508"/>
      <c r="P99" s="1509" t="s">
        <v>2741</v>
      </c>
      <c r="Q99" s="1510"/>
      <c r="R99" s="1511">
        <f t="shared" si="8"/>
        <v>15.412800023999999</v>
      </c>
      <c r="T99" s="1481"/>
      <c r="U99" s="1481"/>
    </row>
    <row r="100" spans="1:21" s="1486" customFormat="1" ht="255" x14ac:dyDescent="0.25">
      <c r="A100" s="1500"/>
      <c r="B100" s="1501">
        <v>97</v>
      </c>
      <c r="C100" s="1502" t="s">
        <v>2714</v>
      </c>
      <c r="D100" s="1502">
        <v>53365</v>
      </c>
      <c r="E100" s="1502" t="s">
        <v>316</v>
      </c>
      <c r="F100" s="1503" t="s">
        <v>2808</v>
      </c>
      <c r="G100" s="1504">
        <v>38.58</v>
      </c>
      <c r="H100" s="1504">
        <v>9.3152206409999998</v>
      </c>
      <c r="I100" s="1504"/>
      <c r="J100" s="1504">
        <v>1.1644026120000002</v>
      </c>
      <c r="K100" s="1504">
        <f>I100+J100</f>
        <v>1.1644026120000002</v>
      </c>
      <c r="L100" s="1504">
        <f>+H100-K100</f>
        <v>8.1508180289999999</v>
      </c>
      <c r="M100" s="1507" t="s">
        <v>2803</v>
      </c>
      <c r="N100" s="1508">
        <v>9.8799999999999999E-2</v>
      </c>
      <c r="O100" s="1508"/>
      <c r="P100" s="1509" t="s">
        <v>2741</v>
      </c>
      <c r="Q100" s="1510"/>
      <c r="R100" s="1511">
        <f t="shared" si="8"/>
        <v>3.4932078360000007</v>
      </c>
      <c r="T100" s="1481"/>
      <c r="U100" s="1481"/>
    </row>
    <row r="101" spans="1:21" s="1486" customFormat="1" ht="75" x14ac:dyDescent="0.25">
      <c r="A101" s="1500"/>
      <c r="B101" s="1501">
        <v>98</v>
      </c>
      <c r="C101" s="1502" t="s">
        <v>2714</v>
      </c>
      <c r="D101" s="1502">
        <v>53366</v>
      </c>
      <c r="E101" s="1502" t="s">
        <v>317</v>
      </c>
      <c r="F101" s="1503" t="s">
        <v>2809</v>
      </c>
      <c r="G101" s="1504">
        <v>11.39</v>
      </c>
      <c r="H101" s="1504">
        <v>9.3045580469999987</v>
      </c>
      <c r="I101" s="1504"/>
      <c r="J101" s="1504">
        <v>1.163069804</v>
      </c>
      <c r="K101" s="1504">
        <f>I101+J101</f>
        <v>1.163069804</v>
      </c>
      <c r="L101" s="1504">
        <f>+H101-K101</f>
        <v>8.1414882429999977</v>
      </c>
      <c r="M101" s="1507" t="s">
        <v>2803</v>
      </c>
      <c r="N101" s="1508">
        <v>9.8299999999999998E-2</v>
      </c>
      <c r="O101" s="1508"/>
      <c r="P101" s="1509" t="s">
        <v>2741</v>
      </c>
      <c r="Q101" s="1510"/>
      <c r="R101" s="1511">
        <f t="shared" si="8"/>
        <v>3.4892094120000001</v>
      </c>
      <c r="T101" s="1481"/>
      <c r="U101" s="1481"/>
    </row>
    <row r="102" spans="1:21" s="1486" customFormat="1" ht="60" x14ac:dyDescent="0.25">
      <c r="A102" s="1500"/>
      <c r="B102" s="1501">
        <v>99</v>
      </c>
      <c r="C102" s="1502" t="s">
        <v>2714</v>
      </c>
      <c r="D102" s="1502">
        <v>53367</v>
      </c>
      <c r="E102" s="1502" t="s">
        <v>318</v>
      </c>
      <c r="F102" s="1503" t="s">
        <v>2810</v>
      </c>
      <c r="G102" s="1504">
        <v>20.100000000000001</v>
      </c>
      <c r="H102" s="1504">
        <v>6.2697906999999997</v>
      </c>
      <c r="I102" s="1504"/>
      <c r="J102" s="1504">
        <f>H102/40*3</f>
        <v>0.47023430249999998</v>
      </c>
      <c r="K102" s="1504">
        <f t="shared" si="7"/>
        <v>0.47023430249999998</v>
      </c>
      <c r="L102" s="1504">
        <f t="shared" ref="L102:L157" si="9">+H102-K102</f>
        <v>5.7995563975</v>
      </c>
      <c r="M102" s="1507" t="s">
        <v>2811</v>
      </c>
      <c r="N102" s="1508">
        <v>0.1047</v>
      </c>
      <c r="O102" s="1508"/>
      <c r="P102" s="1509" t="s">
        <v>2741</v>
      </c>
      <c r="Q102" s="1510"/>
      <c r="R102" s="1511">
        <f>H102/40*11</f>
        <v>1.7241924424999999</v>
      </c>
      <c r="T102" s="1481"/>
      <c r="U102" s="1481"/>
    </row>
    <row r="103" spans="1:21" s="1486" customFormat="1" ht="75" x14ac:dyDescent="0.25">
      <c r="A103" s="1500"/>
      <c r="B103" s="1501">
        <v>100</v>
      </c>
      <c r="C103" s="1502" t="s">
        <v>2714</v>
      </c>
      <c r="D103" s="1502">
        <v>53369</v>
      </c>
      <c r="E103" s="1502" t="s">
        <v>319</v>
      </c>
      <c r="F103" s="1503" t="s">
        <v>2812</v>
      </c>
      <c r="G103" s="1504">
        <v>17.86</v>
      </c>
      <c r="H103" s="1504">
        <v>16.283950000000001</v>
      </c>
      <c r="I103" s="1504"/>
      <c r="J103" s="1504">
        <f>H103/40*2</f>
        <v>0.81419750000000002</v>
      </c>
      <c r="K103" s="1504">
        <f t="shared" si="7"/>
        <v>0.81419750000000002</v>
      </c>
      <c r="L103" s="1504">
        <f t="shared" si="9"/>
        <v>15.4697525</v>
      </c>
      <c r="M103" s="1507" t="s">
        <v>2813</v>
      </c>
      <c r="N103" s="1508">
        <v>9.7500000000000003E-2</v>
      </c>
      <c r="O103" s="1508"/>
      <c r="P103" s="1509" t="s">
        <v>2741</v>
      </c>
      <c r="Q103" s="1510"/>
      <c r="R103" s="1511">
        <f>H103/40*10</f>
        <v>4.0709875000000002</v>
      </c>
      <c r="T103" s="1481"/>
      <c r="U103" s="1481"/>
    </row>
    <row r="104" spans="1:21" s="1486" customFormat="1" ht="105" x14ac:dyDescent="0.25">
      <c r="A104" s="1500"/>
      <c r="B104" s="1501">
        <v>101</v>
      </c>
      <c r="C104" s="1502" t="s">
        <v>2714</v>
      </c>
      <c r="D104" s="1502">
        <v>53370</v>
      </c>
      <c r="E104" s="1502" t="s">
        <v>320</v>
      </c>
      <c r="F104" s="1503" t="s">
        <v>2814</v>
      </c>
      <c r="G104" s="1504">
        <v>9.968</v>
      </c>
      <c r="H104" s="1504">
        <v>7.4759999940000013</v>
      </c>
      <c r="I104" s="1504"/>
      <c r="J104" s="1504">
        <v>0.99680000800000002</v>
      </c>
      <c r="K104" s="1504">
        <f t="shared" si="7"/>
        <v>0.99680000800000002</v>
      </c>
      <c r="L104" s="1504">
        <f t="shared" si="9"/>
        <v>6.4791999860000011</v>
      </c>
      <c r="M104" s="1507" t="s">
        <v>2768</v>
      </c>
      <c r="N104" s="1508">
        <v>9.7500000000000003E-2</v>
      </c>
      <c r="O104" s="1508"/>
      <c r="P104" s="1509" t="s">
        <v>2741</v>
      </c>
      <c r="Q104" s="1510"/>
      <c r="R104" s="1511">
        <f t="shared" si="8"/>
        <v>2.9904000239999999</v>
      </c>
      <c r="T104" s="1481"/>
      <c r="U104" s="1481"/>
    </row>
    <row r="105" spans="1:21" s="1486" customFormat="1" ht="60" x14ac:dyDescent="0.25">
      <c r="A105" s="1500"/>
      <c r="B105" s="1501">
        <v>102</v>
      </c>
      <c r="C105" s="1502" t="s">
        <v>2714</v>
      </c>
      <c r="D105" s="1502">
        <v>53372</v>
      </c>
      <c r="E105" s="1502" t="s">
        <v>321</v>
      </c>
      <c r="F105" s="1503" t="s">
        <v>2815</v>
      </c>
      <c r="G105" s="1504">
        <v>37.6</v>
      </c>
      <c r="H105" s="1504">
        <v>12.222555074000002</v>
      </c>
      <c r="I105" s="1504"/>
      <c r="J105" s="1504">
        <v>1.5278193680000001</v>
      </c>
      <c r="K105" s="1504">
        <f t="shared" si="7"/>
        <v>1.5278193680000001</v>
      </c>
      <c r="L105" s="1504">
        <f t="shared" si="9"/>
        <v>10.694735706000003</v>
      </c>
      <c r="M105" s="1507" t="s">
        <v>2803</v>
      </c>
      <c r="N105" s="1508">
        <v>9.7500000000000003E-2</v>
      </c>
      <c r="O105" s="1508"/>
      <c r="P105" s="1509" t="s">
        <v>2741</v>
      </c>
      <c r="Q105" s="1510"/>
      <c r="R105" s="1511">
        <f t="shared" si="8"/>
        <v>4.583458104</v>
      </c>
      <c r="T105" s="1481"/>
      <c r="U105" s="1481"/>
    </row>
    <row r="106" spans="1:21" s="1486" customFormat="1" ht="105" x14ac:dyDescent="0.25">
      <c r="A106" s="1500"/>
      <c r="B106" s="1501">
        <v>103</v>
      </c>
      <c r="C106" s="1502" t="s">
        <v>2714</v>
      </c>
      <c r="D106" s="1502">
        <v>53373</v>
      </c>
      <c r="E106" s="1502" t="s">
        <v>322</v>
      </c>
      <c r="F106" s="1503" t="s">
        <v>2816</v>
      </c>
      <c r="G106" s="1504">
        <v>25.22</v>
      </c>
      <c r="H106" s="1504">
        <v>3.7926575999999997E-2</v>
      </c>
      <c r="I106" s="1504"/>
      <c r="J106" s="1504">
        <v>5.2312319999999997E-3</v>
      </c>
      <c r="K106" s="1504">
        <f t="shared" si="7"/>
        <v>5.2312319999999997E-3</v>
      </c>
      <c r="L106" s="1504">
        <f t="shared" si="9"/>
        <v>3.2695343999999994E-2</v>
      </c>
      <c r="M106" s="1507" t="s">
        <v>2794</v>
      </c>
      <c r="N106" s="1508">
        <v>9.7500000000000003E-2</v>
      </c>
      <c r="O106" s="1508"/>
      <c r="P106" s="1509" t="s">
        <v>2741</v>
      </c>
      <c r="Q106" s="1510"/>
      <c r="R106" s="1511">
        <f t="shared" si="8"/>
        <v>1.5693696E-2</v>
      </c>
      <c r="T106" s="1481"/>
      <c r="U106" s="1481"/>
    </row>
    <row r="107" spans="1:21" s="1486" customFormat="1" ht="135" x14ac:dyDescent="0.25">
      <c r="A107" s="1500"/>
      <c r="B107" s="1501">
        <v>104</v>
      </c>
      <c r="C107" s="1502" t="s">
        <v>2714</v>
      </c>
      <c r="D107" s="1502">
        <v>53374</v>
      </c>
      <c r="E107" s="1502" t="s">
        <v>323</v>
      </c>
      <c r="F107" s="1503" t="s">
        <v>2817</v>
      </c>
      <c r="G107" s="1504">
        <v>9.8239999999999998</v>
      </c>
      <c r="H107" s="1504">
        <v>7.1223995909999998</v>
      </c>
      <c r="I107" s="1504"/>
      <c r="J107" s="1504">
        <v>0.98240001200000027</v>
      </c>
      <c r="K107" s="1504">
        <f t="shared" si="7"/>
        <v>0.98240001200000027</v>
      </c>
      <c r="L107" s="1504">
        <f t="shared" si="9"/>
        <v>6.1399995789999995</v>
      </c>
      <c r="M107" s="1507" t="s">
        <v>2794</v>
      </c>
      <c r="N107" s="1508">
        <v>9.7500000000000003E-2</v>
      </c>
      <c r="O107" s="1508"/>
      <c r="P107" s="1509" t="s">
        <v>2741</v>
      </c>
      <c r="Q107" s="1510"/>
      <c r="R107" s="1511">
        <f t="shared" si="8"/>
        <v>2.9472000360000008</v>
      </c>
      <c r="T107" s="1481"/>
      <c r="U107" s="1481"/>
    </row>
    <row r="108" spans="1:21" s="1486" customFormat="1" ht="135" x14ac:dyDescent="0.25">
      <c r="A108" s="1500"/>
      <c r="B108" s="1501">
        <v>105</v>
      </c>
      <c r="C108" s="1502" t="s">
        <v>2714</v>
      </c>
      <c r="D108" s="1502">
        <v>53375</v>
      </c>
      <c r="E108" s="1502" t="s">
        <v>324</v>
      </c>
      <c r="F108" s="1503" t="s">
        <v>2818</v>
      </c>
      <c r="G108" s="1504">
        <v>24.71</v>
      </c>
      <c r="H108" s="1504">
        <v>19.801876118999996</v>
      </c>
      <c r="I108" s="1504"/>
      <c r="J108" s="1504">
        <v>2.4752345079999998</v>
      </c>
      <c r="K108" s="1504">
        <f>I108+J108</f>
        <v>2.4752345079999998</v>
      </c>
      <c r="L108" s="1504">
        <f>+H108-K108</f>
        <v>17.326641610999996</v>
      </c>
      <c r="M108" s="1507" t="s">
        <v>2803</v>
      </c>
      <c r="N108" s="1508">
        <v>0.1</v>
      </c>
      <c r="O108" s="1508"/>
      <c r="P108" s="1509" t="s">
        <v>2741</v>
      </c>
      <c r="Q108" s="1510"/>
      <c r="R108" s="1511">
        <f t="shared" si="8"/>
        <v>7.4257035239999993</v>
      </c>
      <c r="T108" s="1481"/>
      <c r="U108" s="1481"/>
    </row>
    <row r="109" spans="1:21" s="1486" customFormat="1" ht="60" x14ac:dyDescent="0.25">
      <c r="A109" s="1500"/>
      <c r="B109" s="1501">
        <v>106</v>
      </c>
      <c r="C109" s="1502" t="s">
        <v>2714</v>
      </c>
      <c r="D109" s="1502">
        <v>53376</v>
      </c>
      <c r="E109" s="1502" t="s">
        <v>325</v>
      </c>
      <c r="F109" s="1503" t="s">
        <v>2819</v>
      </c>
      <c r="G109" s="1504">
        <v>10.712</v>
      </c>
      <c r="H109" s="1504">
        <v>8.3018000000000001</v>
      </c>
      <c r="I109" s="1504"/>
      <c r="J109" s="1504">
        <v>1.0711999999999999</v>
      </c>
      <c r="K109" s="1504">
        <f>I109+J109</f>
        <v>1.0711999999999999</v>
      </c>
      <c r="L109" s="1504">
        <f>+H109-K109</f>
        <v>7.2305999999999999</v>
      </c>
      <c r="M109" s="1507" t="s">
        <v>2798</v>
      </c>
      <c r="N109" s="1508">
        <v>9.7500000000000003E-2</v>
      </c>
      <c r="O109" s="1508"/>
      <c r="P109" s="1509" t="s">
        <v>2741</v>
      </c>
      <c r="Q109" s="1510"/>
      <c r="R109" s="1511">
        <f t="shared" si="8"/>
        <v>3.2135999999999996</v>
      </c>
      <c r="T109" s="1481"/>
      <c r="U109" s="1481"/>
    </row>
    <row r="110" spans="1:21" s="1486" customFormat="1" ht="165" x14ac:dyDescent="0.25">
      <c r="A110" s="1500"/>
      <c r="B110" s="1501">
        <v>107</v>
      </c>
      <c r="C110" s="1502" t="s">
        <v>2714</v>
      </c>
      <c r="D110" s="1502">
        <v>53377</v>
      </c>
      <c r="E110" s="1502" t="s">
        <v>326</v>
      </c>
      <c r="F110" s="1503" t="s">
        <v>2820</v>
      </c>
      <c r="G110" s="1504">
        <v>9.0399999999999991</v>
      </c>
      <c r="H110" s="1504">
        <v>6.7799999969999982</v>
      </c>
      <c r="I110" s="1504"/>
      <c r="J110" s="1504">
        <v>0.90400000400000013</v>
      </c>
      <c r="K110" s="1504">
        <f>I110+J110</f>
        <v>0.90400000400000013</v>
      </c>
      <c r="L110" s="1504">
        <f>+H110-K110</f>
        <v>5.875999992999998</v>
      </c>
      <c r="M110" s="1507" t="s">
        <v>2768</v>
      </c>
      <c r="N110" s="1508">
        <v>9.7500000000000003E-2</v>
      </c>
      <c r="O110" s="1508"/>
      <c r="P110" s="1509" t="s">
        <v>2741</v>
      </c>
      <c r="Q110" s="1510"/>
      <c r="R110" s="1511">
        <f t="shared" si="8"/>
        <v>2.7120000120000003</v>
      </c>
      <c r="T110" s="1481"/>
      <c r="U110" s="1481"/>
    </row>
    <row r="111" spans="1:21" s="1486" customFormat="1" ht="105" x14ac:dyDescent="0.25">
      <c r="A111" s="1500"/>
      <c r="B111" s="1501">
        <v>108</v>
      </c>
      <c r="C111" s="1502" t="s">
        <v>2714</v>
      </c>
      <c r="D111" s="1502">
        <v>53379</v>
      </c>
      <c r="E111" s="1502" t="s">
        <v>327</v>
      </c>
      <c r="F111" s="1503" t="s">
        <v>2821</v>
      </c>
      <c r="G111" s="1504">
        <v>8.82</v>
      </c>
      <c r="H111" s="1504">
        <v>6.3944997969999982</v>
      </c>
      <c r="I111" s="1504"/>
      <c r="J111" s="1504">
        <v>0.88200000399999989</v>
      </c>
      <c r="K111" s="1504">
        <f t="shared" si="7"/>
        <v>0.88200000399999989</v>
      </c>
      <c r="L111" s="1504">
        <f t="shared" si="9"/>
        <v>5.5124997929999981</v>
      </c>
      <c r="M111" s="1507" t="s">
        <v>2794</v>
      </c>
      <c r="N111" s="1508">
        <v>0.1003</v>
      </c>
      <c r="O111" s="1508"/>
      <c r="P111" s="1509" t="s">
        <v>2741</v>
      </c>
      <c r="Q111" s="1510"/>
      <c r="R111" s="1511">
        <f t="shared" si="8"/>
        <v>2.6460000119999996</v>
      </c>
      <c r="T111" s="1481"/>
      <c r="U111" s="1481"/>
    </row>
    <row r="112" spans="1:21" s="1486" customFormat="1" ht="75" x14ac:dyDescent="0.25">
      <c r="A112" s="1500"/>
      <c r="B112" s="1501">
        <v>109</v>
      </c>
      <c r="C112" s="1502" t="s">
        <v>2714</v>
      </c>
      <c r="D112" s="1502">
        <v>53381</v>
      </c>
      <c r="E112" s="1502" t="s">
        <v>328</v>
      </c>
      <c r="F112" s="1503" t="s">
        <v>2822</v>
      </c>
      <c r="G112" s="1504">
        <v>24.59</v>
      </c>
      <c r="H112" s="1504">
        <v>19.759889661999999</v>
      </c>
      <c r="I112" s="1504">
        <v>0</v>
      </c>
      <c r="J112" s="1504">
        <v>2.4699862600000007</v>
      </c>
      <c r="K112" s="1504">
        <f t="shared" si="7"/>
        <v>2.4699862600000007</v>
      </c>
      <c r="L112" s="1504">
        <f t="shared" si="9"/>
        <v>17.289903402</v>
      </c>
      <c r="M112" s="1507" t="s">
        <v>2803</v>
      </c>
      <c r="N112" s="1508">
        <v>0.1079</v>
      </c>
      <c r="O112" s="1508"/>
      <c r="P112" s="1509" t="s">
        <v>2741</v>
      </c>
      <c r="Q112" s="1510"/>
      <c r="R112" s="1511">
        <f>J112*3</f>
        <v>7.409958780000002</v>
      </c>
      <c r="T112" s="1481"/>
      <c r="U112" s="1481"/>
    </row>
    <row r="113" spans="1:21" s="1486" customFormat="1" ht="150" x14ac:dyDescent="0.25">
      <c r="A113" s="1500"/>
      <c r="B113" s="1501">
        <v>110</v>
      </c>
      <c r="C113" s="1502" t="s">
        <v>2714</v>
      </c>
      <c r="D113" s="1502">
        <v>53382</v>
      </c>
      <c r="E113" s="1502" t="s">
        <v>329</v>
      </c>
      <c r="F113" s="1503" t="s">
        <v>2823</v>
      </c>
      <c r="G113" s="1504">
        <v>13.448</v>
      </c>
      <c r="H113" s="1504">
        <v>10.7584</v>
      </c>
      <c r="I113" s="1504">
        <v>0</v>
      </c>
      <c r="J113" s="1504">
        <v>1.3448</v>
      </c>
      <c r="K113" s="1504">
        <f t="shared" ref="K113:K157" si="10">I113+J113</f>
        <v>1.3448</v>
      </c>
      <c r="L113" s="1504">
        <f t="shared" si="9"/>
        <v>9.4136000000000006</v>
      </c>
      <c r="M113" s="1507" t="s">
        <v>2803</v>
      </c>
      <c r="N113" s="1508">
        <v>0.1008</v>
      </c>
      <c r="O113" s="1508"/>
      <c r="P113" s="1509" t="s">
        <v>2741</v>
      </c>
      <c r="Q113" s="1510"/>
      <c r="R113" s="1511">
        <f t="shared" ref="R113:R119" si="11">J113*3</f>
        <v>4.0343999999999998</v>
      </c>
      <c r="T113" s="1481"/>
      <c r="U113" s="1481"/>
    </row>
    <row r="114" spans="1:21" s="1486" customFormat="1" ht="135" x14ac:dyDescent="0.25">
      <c r="A114" s="1500"/>
      <c r="B114" s="1501">
        <v>111</v>
      </c>
      <c r="C114" s="1502" t="s">
        <v>2714</v>
      </c>
      <c r="D114" s="1502">
        <v>53383</v>
      </c>
      <c r="E114" s="1502" t="s">
        <v>330</v>
      </c>
      <c r="F114" s="1503" t="s">
        <v>2824</v>
      </c>
      <c r="G114" s="1504">
        <v>12.39</v>
      </c>
      <c r="H114" s="1504">
        <v>10.795225472</v>
      </c>
      <c r="I114" s="1504">
        <v>0</v>
      </c>
      <c r="J114" s="1504">
        <v>1.233740056</v>
      </c>
      <c r="K114" s="1504">
        <f t="shared" si="10"/>
        <v>1.233740056</v>
      </c>
      <c r="L114" s="1504">
        <f t="shared" si="9"/>
        <v>9.561485416</v>
      </c>
      <c r="M114" s="1507" t="s">
        <v>2825</v>
      </c>
      <c r="N114" s="1508">
        <v>0.1047</v>
      </c>
      <c r="O114" s="1508"/>
      <c r="P114" s="1509" t="s">
        <v>2741</v>
      </c>
      <c r="Q114" s="1510"/>
      <c r="R114" s="1511">
        <f t="shared" si="11"/>
        <v>3.7012201679999999</v>
      </c>
      <c r="T114" s="1481"/>
      <c r="U114" s="1481"/>
    </row>
    <row r="115" spans="1:21" s="1486" customFormat="1" ht="60" x14ac:dyDescent="0.25">
      <c r="A115" s="1500"/>
      <c r="B115" s="1501">
        <v>112</v>
      </c>
      <c r="C115" s="1502" t="s">
        <v>2714</v>
      </c>
      <c r="D115" s="1502">
        <v>53384</v>
      </c>
      <c r="E115" s="1502" t="s">
        <v>331</v>
      </c>
      <c r="F115" s="1503" t="s">
        <v>2826</v>
      </c>
      <c r="G115" s="1504">
        <v>80</v>
      </c>
      <c r="H115" s="1504">
        <v>65.932272401000006</v>
      </c>
      <c r="I115" s="1504">
        <v>0</v>
      </c>
      <c r="J115" s="1504">
        <v>7.5721074240000004</v>
      </c>
      <c r="K115" s="1504">
        <f t="shared" si="10"/>
        <v>7.5721074240000004</v>
      </c>
      <c r="L115" s="1504">
        <f t="shared" si="9"/>
        <v>58.360164977000004</v>
      </c>
      <c r="M115" s="1507" t="s">
        <v>2803</v>
      </c>
      <c r="N115" s="1508">
        <v>0.1079</v>
      </c>
      <c r="O115" s="1508"/>
      <c r="P115" s="1509" t="s">
        <v>2741</v>
      </c>
      <c r="Q115" s="1510"/>
      <c r="R115" s="1511">
        <f>J115*3</f>
        <v>22.716322271999999</v>
      </c>
      <c r="T115" s="1481"/>
      <c r="U115" s="1481"/>
    </row>
    <row r="116" spans="1:21" s="1486" customFormat="1" ht="60" x14ac:dyDescent="0.25">
      <c r="A116" s="1500"/>
      <c r="B116" s="1501">
        <v>113</v>
      </c>
      <c r="C116" s="1502" t="s">
        <v>2714</v>
      </c>
      <c r="D116" s="1502">
        <v>53385</v>
      </c>
      <c r="E116" s="1502" t="s">
        <v>332</v>
      </c>
      <c r="F116" s="1503" t="s">
        <v>2827</v>
      </c>
      <c r="G116" s="1504">
        <v>15.48</v>
      </c>
      <c r="H116" s="1504">
        <v>12.434544713000003</v>
      </c>
      <c r="I116" s="1504">
        <v>0</v>
      </c>
      <c r="J116" s="1504">
        <v>1.5543181159999999</v>
      </c>
      <c r="K116" s="1504">
        <f t="shared" si="10"/>
        <v>1.5543181159999999</v>
      </c>
      <c r="L116" s="1504">
        <f t="shared" si="9"/>
        <v>10.880226597000004</v>
      </c>
      <c r="M116" s="1507" t="s">
        <v>2803</v>
      </c>
      <c r="N116" s="1508">
        <v>0.1043</v>
      </c>
      <c r="O116" s="1508"/>
      <c r="P116" s="1509" t="s">
        <v>2828</v>
      </c>
      <c r="Q116" s="1510"/>
      <c r="R116" s="1511">
        <f t="shared" si="11"/>
        <v>4.6629543479999995</v>
      </c>
      <c r="T116" s="1481"/>
      <c r="U116" s="1481"/>
    </row>
    <row r="117" spans="1:21" s="1486" customFormat="1" ht="120" x14ac:dyDescent="0.25">
      <c r="A117" s="1500"/>
      <c r="B117" s="1501">
        <v>114</v>
      </c>
      <c r="C117" s="1502" t="s">
        <v>2714</v>
      </c>
      <c r="D117" s="1502">
        <v>53387</v>
      </c>
      <c r="E117" s="1502" t="s">
        <v>333</v>
      </c>
      <c r="F117" s="1503" t="s">
        <v>2829</v>
      </c>
      <c r="G117" s="1504">
        <v>9.2200000000000006</v>
      </c>
      <c r="H117" s="1504">
        <v>7.3727999940000011</v>
      </c>
      <c r="I117" s="1504">
        <v>0</v>
      </c>
      <c r="J117" s="1504">
        <v>0.92160000799999997</v>
      </c>
      <c r="K117" s="1504">
        <f t="shared" si="10"/>
        <v>0.92160000799999997</v>
      </c>
      <c r="L117" s="1504">
        <f t="shared" si="9"/>
        <v>6.4511999860000007</v>
      </c>
      <c r="M117" s="1507" t="s">
        <v>2803</v>
      </c>
      <c r="N117" s="1508">
        <v>0.1008</v>
      </c>
      <c r="O117" s="1508"/>
      <c r="P117" s="1509" t="s">
        <v>2741</v>
      </c>
      <c r="Q117" s="1510"/>
      <c r="R117" s="1511">
        <f t="shared" si="11"/>
        <v>2.7648000239999999</v>
      </c>
      <c r="T117" s="1481"/>
      <c r="U117" s="1481"/>
    </row>
    <row r="118" spans="1:21" s="1486" customFormat="1" ht="60" x14ac:dyDescent="0.25">
      <c r="A118" s="1500"/>
      <c r="B118" s="1501">
        <v>115</v>
      </c>
      <c r="C118" s="1502" t="s">
        <v>2714</v>
      </c>
      <c r="D118" s="1502">
        <v>53388</v>
      </c>
      <c r="E118" s="1502" t="s">
        <v>334</v>
      </c>
      <c r="F118" s="1503" t="s">
        <v>2830</v>
      </c>
      <c r="G118" s="1504">
        <v>11.656000000000001</v>
      </c>
      <c r="H118" s="1504">
        <v>6.2581366679999988</v>
      </c>
      <c r="I118" s="1504">
        <v>0</v>
      </c>
      <c r="J118" s="1504">
        <v>0.78226712399999998</v>
      </c>
      <c r="K118" s="1504">
        <f t="shared" si="10"/>
        <v>0.78226712399999998</v>
      </c>
      <c r="L118" s="1504">
        <f t="shared" si="9"/>
        <v>5.4758695439999991</v>
      </c>
      <c r="M118" s="1507" t="s">
        <v>2803</v>
      </c>
      <c r="N118" s="1508">
        <v>0.1052</v>
      </c>
      <c r="O118" s="1508"/>
      <c r="P118" s="1509" t="s">
        <v>2828</v>
      </c>
      <c r="Q118" s="1510"/>
      <c r="R118" s="1511">
        <f t="shared" si="11"/>
        <v>2.3468013719999998</v>
      </c>
      <c r="T118" s="1481"/>
      <c r="U118" s="1481"/>
    </row>
    <row r="119" spans="1:21" s="1486" customFormat="1" ht="60" x14ac:dyDescent="0.25">
      <c r="A119" s="1500"/>
      <c r="B119" s="1501">
        <v>116</v>
      </c>
      <c r="C119" s="1502" t="s">
        <v>2714</v>
      </c>
      <c r="D119" s="1502">
        <v>53389</v>
      </c>
      <c r="E119" s="1502" t="s">
        <v>335</v>
      </c>
      <c r="F119" s="1503" t="s">
        <v>2831</v>
      </c>
      <c r="G119" s="1504">
        <v>8.9600000000000009</v>
      </c>
      <c r="H119" s="1504">
        <v>7.4143799510000008</v>
      </c>
      <c r="I119" s="1504">
        <v>0</v>
      </c>
      <c r="J119" s="1504">
        <v>0.89871273200000001</v>
      </c>
      <c r="K119" s="1504">
        <f t="shared" si="10"/>
        <v>0.89871273200000001</v>
      </c>
      <c r="L119" s="1504">
        <f t="shared" si="9"/>
        <v>6.5156672190000009</v>
      </c>
      <c r="M119" s="1507" t="s">
        <v>2832</v>
      </c>
      <c r="N119" s="1508">
        <v>0.1032</v>
      </c>
      <c r="O119" s="1508"/>
      <c r="P119" s="1509" t="s">
        <v>2741</v>
      </c>
      <c r="Q119" s="1510"/>
      <c r="R119" s="1511">
        <f t="shared" si="11"/>
        <v>2.6961381960000002</v>
      </c>
      <c r="T119" s="1481"/>
      <c r="U119" s="1481"/>
    </row>
    <row r="120" spans="1:21" s="1486" customFormat="1" ht="90" x14ac:dyDescent="0.25">
      <c r="A120" s="1500"/>
      <c r="B120" s="1501">
        <v>117</v>
      </c>
      <c r="C120" s="1502" t="s">
        <v>2714</v>
      </c>
      <c r="D120" s="1502">
        <v>53390</v>
      </c>
      <c r="E120" s="1502" t="s">
        <v>336</v>
      </c>
      <c r="F120" s="1503" t="s">
        <v>2833</v>
      </c>
      <c r="G120" s="1504">
        <v>15.358000000000001</v>
      </c>
      <c r="H120" s="1504">
        <v>15.3576</v>
      </c>
      <c r="I120" s="1504">
        <v>0</v>
      </c>
      <c r="J120" s="1504">
        <f>H120/40*3</f>
        <v>1.1518200000000001</v>
      </c>
      <c r="K120" s="1504">
        <f t="shared" si="10"/>
        <v>1.1518200000000001</v>
      </c>
      <c r="L120" s="1504">
        <f t="shared" si="9"/>
        <v>14.205779999999999</v>
      </c>
      <c r="M120" s="1507" t="s">
        <v>2811</v>
      </c>
      <c r="N120" s="1508">
        <v>0.105</v>
      </c>
      <c r="O120" s="1508"/>
      <c r="P120" s="1509" t="s">
        <v>2741</v>
      </c>
      <c r="Q120" s="1510"/>
      <c r="R120" s="1511">
        <f>H120/40*11</f>
        <v>4.2233400000000003</v>
      </c>
      <c r="T120" s="1481"/>
      <c r="U120" s="1481"/>
    </row>
    <row r="121" spans="1:21" s="1486" customFormat="1" ht="60" x14ac:dyDescent="0.25">
      <c r="A121" s="1500"/>
      <c r="B121" s="1501">
        <v>118</v>
      </c>
      <c r="C121" s="1502" t="s">
        <v>2714</v>
      </c>
      <c r="D121" s="1502">
        <v>53391</v>
      </c>
      <c r="E121" s="1502" t="s">
        <v>337</v>
      </c>
      <c r="F121" s="1503" t="s">
        <v>2834</v>
      </c>
      <c r="G121" s="1504">
        <v>13.98</v>
      </c>
      <c r="H121" s="1504">
        <v>13.3927598</v>
      </c>
      <c r="I121" s="1504">
        <v>0</v>
      </c>
      <c r="J121" s="1504">
        <f>H121/120*4</f>
        <v>0.44642532666666668</v>
      </c>
      <c r="K121" s="1504">
        <f t="shared" si="10"/>
        <v>0.44642532666666668</v>
      </c>
      <c r="L121" s="1504">
        <f t="shared" si="9"/>
        <v>12.946334473333334</v>
      </c>
      <c r="M121" s="1507" t="s">
        <v>2835</v>
      </c>
      <c r="N121" s="1508">
        <v>0.10829999999999999</v>
      </c>
      <c r="O121" s="1508"/>
      <c r="P121" s="1509" t="s">
        <v>2741</v>
      </c>
      <c r="Q121" s="1510"/>
      <c r="R121" s="1511">
        <f>H121/120*28</f>
        <v>3.1249772866666667</v>
      </c>
      <c r="T121" s="1481"/>
      <c r="U121" s="1481"/>
    </row>
    <row r="122" spans="1:21" s="1486" customFormat="1" ht="135" x14ac:dyDescent="0.25">
      <c r="A122" s="1500"/>
      <c r="B122" s="1501">
        <v>119</v>
      </c>
      <c r="C122" s="1502" t="s">
        <v>2714</v>
      </c>
      <c r="D122" s="1502">
        <v>53392</v>
      </c>
      <c r="E122" s="1502" t="s">
        <v>338</v>
      </c>
      <c r="F122" s="1503" t="s">
        <v>2836</v>
      </c>
      <c r="G122" s="1504">
        <v>16.690000000000001</v>
      </c>
      <c r="H122" s="1504">
        <v>7.420248</v>
      </c>
      <c r="I122" s="1504">
        <v>0</v>
      </c>
      <c r="J122" s="1504">
        <v>0</v>
      </c>
      <c r="K122" s="1504">
        <f t="shared" si="10"/>
        <v>0</v>
      </c>
      <c r="L122" s="1504">
        <f t="shared" si="9"/>
        <v>7.420248</v>
      </c>
      <c r="M122" s="1507" t="s">
        <v>2837</v>
      </c>
      <c r="N122" s="1508">
        <v>0.1</v>
      </c>
      <c r="O122" s="1508"/>
      <c r="P122" s="1509" t="s">
        <v>2741</v>
      </c>
      <c r="Q122" s="1510"/>
      <c r="R122" s="1504">
        <f>H122/40*8</f>
        <v>1.4840496000000001</v>
      </c>
      <c r="T122" s="1481"/>
      <c r="U122" s="1481"/>
    </row>
    <row r="123" spans="1:21" s="1486" customFormat="1" ht="105" x14ac:dyDescent="0.25">
      <c r="A123" s="1500"/>
      <c r="B123" s="1501">
        <v>120</v>
      </c>
      <c r="C123" s="1502" t="s">
        <v>2714</v>
      </c>
      <c r="D123" s="1502">
        <v>53394</v>
      </c>
      <c r="E123" s="1502" t="s">
        <v>339</v>
      </c>
      <c r="F123" s="1503" t="s">
        <v>2838</v>
      </c>
      <c r="G123" s="1504">
        <v>10.54</v>
      </c>
      <c r="H123" s="1504">
        <v>9.0713527020000004</v>
      </c>
      <c r="I123" s="1504">
        <v>0</v>
      </c>
      <c r="J123" s="1504">
        <v>0.79485861199999996</v>
      </c>
      <c r="K123" s="1504">
        <f t="shared" si="10"/>
        <v>0.79485861199999996</v>
      </c>
      <c r="L123" s="1504">
        <f t="shared" si="9"/>
        <v>8.2764940899999999</v>
      </c>
      <c r="M123" s="1507" t="s">
        <v>2839</v>
      </c>
      <c r="N123" s="1508">
        <v>0.10440000000000001</v>
      </c>
      <c r="O123" s="1508"/>
      <c r="P123" s="1509" t="s">
        <v>2741</v>
      </c>
      <c r="Q123" s="1510"/>
      <c r="R123" s="1511">
        <f>J123*3</f>
        <v>2.3845758359999998</v>
      </c>
      <c r="T123" s="1481"/>
      <c r="U123" s="1481"/>
    </row>
    <row r="124" spans="1:21" s="1486" customFormat="1" ht="105" x14ac:dyDescent="0.25">
      <c r="A124" s="1500"/>
      <c r="B124" s="1501">
        <v>121</v>
      </c>
      <c r="C124" s="1502" t="s">
        <v>2714</v>
      </c>
      <c r="D124" s="1502">
        <v>53395</v>
      </c>
      <c r="E124" s="1502" t="s">
        <v>340</v>
      </c>
      <c r="F124" s="1503" t="s">
        <v>2840</v>
      </c>
      <c r="G124" s="1504">
        <v>8.09</v>
      </c>
      <c r="H124" s="1504">
        <v>7.077</v>
      </c>
      <c r="I124" s="1504">
        <v>0</v>
      </c>
      <c r="J124" s="1504">
        <v>0.80879999999999996</v>
      </c>
      <c r="K124" s="1504">
        <f t="shared" si="10"/>
        <v>0.80879999999999996</v>
      </c>
      <c r="L124" s="1504">
        <f t="shared" si="9"/>
        <v>6.2682000000000002</v>
      </c>
      <c r="M124" s="1507" t="s">
        <v>2825</v>
      </c>
      <c r="N124" s="1508">
        <v>0.1108</v>
      </c>
      <c r="O124" s="1508"/>
      <c r="P124" s="1509" t="s">
        <v>2741</v>
      </c>
      <c r="Q124" s="1510"/>
      <c r="R124" s="1511">
        <f>J124*3</f>
        <v>2.4264000000000001</v>
      </c>
      <c r="T124" s="1481"/>
      <c r="U124" s="1481"/>
    </row>
    <row r="125" spans="1:21" s="1486" customFormat="1" ht="150" x14ac:dyDescent="0.25">
      <c r="A125" s="1500"/>
      <c r="B125" s="1501">
        <v>122</v>
      </c>
      <c r="C125" s="1502" t="s">
        <v>2714</v>
      </c>
      <c r="D125" s="1502">
        <v>53396</v>
      </c>
      <c r="E125" s="1502" t="s">
        <v>341</v>
      </c>
      <c r="F125" s="1503" t="s">
        <v>2841</v>
      </c>
      <c r="G125" s="1504">
        <v>9.27</v>
      </c>
      <c r="H125" s="1504">
        <v>8.1424112569999991</v>
      </c>
      <c r="I125" s="1504">
        <v>0</v>
      </c>
      <c r="J125" s="1504">
        <v>0.76411009200000002</v>
      </c>
      <c r="K125" s="1504">
        <f t="shared" si="10"/>
        <v>0.76411009200000002</v>
      </c>
      <c r="L125" s="1504">
        <f t="shared" si="9"/>
        <v>7.378301164999999</v>
      </c>
      <c r="M125" s="1507" t="s">
        <v>2825</v>
      </c>
      <c r="N125" s="1508">
        <v>0.1016</v>
      </c>
      <c r="O125" s="1508"/>
      <c r="P125" s="1509" t="s">
        <v>2741</v>
      </c>
      <c r="Q125" s="1510"/>
      <c r="R125" s="1511">
        <f>J125*3</f>
        <v>2.2923302759999999</v>
      </c>
      <c r="T125" s="1481"/>
      <c r="U125" s="1481"/>
    </row>
    <row r="126" spans="1:21" s="1486" customFormat="1" ht="60" x14ac:dyDescent="0.25">
      <c r="A126" s="1500"/>
      <c r="B126" s="1501">
        <v>123</v>
      </c>
      <c r="C126" s="1502" t="s">
        <v>2714</v>
      </c>
      <c r="D126" s="1502">
        <v>53397</v>
      </c>
      <c r="E126" s="1502" t="s">
        <v>342</v>
      </c>
      <c r="F126" s="1503" t="s">
        <v>2842</v>
      </c>
      <c r="G126" s="1504">
        <v>16.38</v>
      </c>
      <c r="H126" s="1504">
        <v>7.2876124000000004</v>
      </c>
      <c r="I126" s="1504">
        <v>0</v>
      </c>
      <c r="J126" s="1504">
        <f>H126/120*12</f>
        <v>0.72876123999999998</v>
      </c>
      <c r="K126" s="1504">
        <f t="shared" si="10"/>
        <v>0.72876123999999998</v>
      </c>
      <c r="L126" s="1504">
        <f t="shared" si="9"/>
        <v>6.5588511600000006</v>
      </c>
      <c r="M126" s="1507" t="s">
        <v>2800</v>
      </c>
      <c r="N126" s="1508">
        <v>0.10639999999999999</v>
      </c>
      <c r="O126" s="1508"/>
      <c r="P126" s="1509" t="s">
        <v>2828</v>
      </c>
      <c r="Q126" s="1510"/>
      <c r="R126" s="1511">
        <f>H126/120*31</f>
        <v>1.8826332033333333</v>
      </c>
      <c r="T126" s="1481"/>
      <c r="U126" s="1481"/>
    </row>
    <row r="127" spans="1:21" s="1486" customFormat="1" ht="60" x14ac:dyDescent="0.25">
      <c r="A127" s="1500"/>
      <c r="B127" s="1501">
        <v>124</v>
      </c>
      <c r="C127" s="1502" t="s">
        <v>2714</v>
      </c>
      <c r="D127" s="1502">
        <v>53398</v>
      </c>
      <c r="E127" s="1502" t="s">
        <v>343</v>
      </c>
      <c r="F127" s="1503" t="s">
        <v>2843</v>
      </c>
      <c r="G127" s="1504">
        <v>10.61</v>
      </c>
      <c r="H127" s="1504">
        <v>5.9225670780000002</v>
      </c>
      <c r="I127" s="1504">
        <v>0</v>
      </c>
      <c r="J127" s="1504">
        <v>0.61414524400000003</v>
      </c>
      <c r="K127" s="1504">
        <f t="shared" si="10"/>
        <v>0.61414524400000003</v>
      </c>
      <c r="L127" s="1504">
        <f t="shared" si="9"/>
        <v>5.3084218339999998</v>
      </c>
      <c r="M127" s="1507" t="s">
        <v>2825</v>
      </c>
      <c r="N127" s="1508">
        <v>0.10879999999999999</v>
      </c>
      <c r="O127" s="1508"/>
      <c r="P127" s="1509" t="s">
        <v>2828</v>
      </c>
      <c r="Q127" s="1510"/>
      <c r="R127" s="1511">
        <f>J127*3</f>
        <v>1.8424357320000002</v>
      </c>
      <c r="T127" s="1481"/>
      <c r="U127" s="1481"/>
    </row>
    <row r="128" spans="1:21" s="1486" customFormat="1" ht="90" x14ac:dyDescent="0.25">
      <c r="A128" s="1500"/>
      <c r="B128" s="1501">
        <v>125</v>
      </c>
      <c r="C128" s="1502" t="s">
        <v>2714</v>
      </c>
      <c r="D128" s="1502">
        <v>53399</v>
      </c>
      <c r="E128" s="1502" t="s">
        <v>344</v>
      </c>
      <c r="F128" s="1503" t="s">
        <v>2844</v>
      </c>
      <c r="G128" s="1504">
        <v>2.04</v>
      </c>
      <c r="H128" s="1504">
        <v>1.7339999940000002</v>
      </c>
      <c r="I128" s="1504">
        <v>0</v>
      </c>
      <c r="J128" s="1504">
        <v>0.20400000800000001</v>
      </c>
      <c r="K128" s="1504">
        <f t="shared" si="10"/>
        <v>0.20400000800000001</v>
      </c>
      <c r="L128" s="1504">
        <f t="shared" si="9"/>
        <v>1.5299999860000002</v>
      </c>
      <c r="M128" s="1507" t="s">
        <v>2839</v>
      </c>
      <c r="N128" s="1508">
        <v>0.10879999999999999</v>
      </c>
      <c r="O128" s="1508"/>
      <c r="P128" s="1509" t="s">
        <v>2828</v>
      </c>
      <c r="Q128" s="1510"/>
      <c r="R128" s="1511">
        <f>J128*3</f>
        <v>0.61200002400000009</v>
      </c>
      <c r="T128" s="1481"/>
      <c r="U128" s="1481"/>
    </row>
    <row r="129" spans="1:21" s="1486" customFormat="1" ht="90" x14ac:dyDescent="0.25">
      <c r="A129" s="1500"/>
      <c r="B129" s="1501">
        <v>126</v>
      </c>
      <c r="C129" s="1502" t="s">
        <v>2714</v>
      </c>
      <c r="D129" s="1502">
        <v>53400</v>
      </c>
      <c r="E129" s="1502" t="s">
        <v>345</v>
      </c>
      <c r="F129" s="1503" t="s">
        <v>2845</v>
      </c>
      <c r="G129" s="1504">
        <v>8.44</v>
      </c>
      <c r="H129" s="1504">
        <v>7.5960000000000001</v>
      </c>
      <c r="I129" s="1504">
        <v>0</v>
      </c>
      <c r="J129" s="1504">
        <f>H129/40*4</f>
        <v>0.75960000000000005</v>
      </c>
      <c r="K129" s="1504">
        <f t="shared" si="10"/>
        <v>0.75960000000000005</v>
      </c>
      <c r="L129" s="1504">
        <f t="shared" si="9"/>
        <v>6.8364000000000003</v>
      </c>
      <c r="M129" s="1507" t="s">
        <v>2846</v>
      </c>
      <c r="N129" s="1508">
        <v>0.10589999999999999</v>
      </c>
      <c r="O129" s="1508"/>
      <c r="P129" s="1509" t="s">
        <v>2828</v>
      </c>
      <c r="Q129" s="1510"/>
      <c r="R129" s="1511">
        <f>H129/120*12</f>
        <v>0.75959999999999994</v>
      </c>
      <c r="T129" s="1481"/>
      <c r="U129" s="1481"/>
    </row>
    <row r="130" spans="1:21" s="1486" customFormat="1" ht="150" x14ac:dyDescent="0.25">
      <c r="A130" s="1500"/>
      <c r="B130" s="1501">
        <v>127</v>
      </c>
      <c r="C130" s="1502" t="s">
        <v>2714</v>
      </c>
      <c r="D130" s="1502">
        <v>53551</v>
      </c>
      <c r="E130" s="1502" t="s">
        <v>346</v>
      </c>
      <c r="F130" s="1503" t="s">
        <v>2847</v>
      </c>
      <c r="G130" s="1504">
        <v>12.6</v>
      </c>
      <c r="H130" s="1504">
        <v>10.527814985000001</v>
      </c>
      <c r="I130" s="1504">
        <v>0</v>
      </c>
      <c r="J130" s="1504">
        <v>1.2760988199999999</v>
      </c>
      <c r="K130" s="1504">
        <f t="shared" si="10"/>
        <v>1.2760988199999999</v>
      </c>
      <c r="L130" s="1504">
        <f t="shared" si="9"/>
        <v>9.2517161650000013</v>
      </c>
      <c r="M130" s="1507" t="s">
        <v>2832</v>
      </c>
      <c r="N130" s="1508">
        <v>0.10489999999999999</v>
      </c>
      <c r="O130" s="1508"/>
      <c r="P130" s="1509" t="s">
        <v>2741</v>
      </c>
      <c r="Q130" s="1510"/>
      <c r="R130" s="1511">
        <f>J130*3</f>
        <v>3.8282964599999998</v>
      </c>
      <c r="T130" s="1481"/>
      <c r="U130" s="1481"/>
    </row>
    <row r="131" spans="1:21" s="1486" customFormat="1" ht="75" x14ac:dyDescent="0.25">
      <c r="A131" s="1500"/>
      <c r="B131" s="1501">
        <v>128</v>
      </c>
      <c r="C131" s="1502" t="s">
        <v>2714</v>
      </c>
      <c r="D131" s="1502">
        <v>53552</v>
      </c>
      <c r="E131" s="1502" t="s">
        <v>347</v>
      </c>
      <c r="F131" s="1503" t="s">
        <v>2848</v>
      </c>
      <c r="G131" s="1504">
        <v>9.0939999999999994</v>
      </c>
      <c r="H131" s="1504">
        <v>9.0939999999999994</v>
      </c>
      <c r="I131" s="1504">
        <v>0</v>
      </c>
      <c r="J131" s="1504">
        <f>H131/40*2</f>
        <v>0.45469999999999999</v>
      </c>
      <c r="K131" s="1504">
        <f t="shared" si="10"/>
        <v>0.45469999999999999</v>
      </c>
      <c r="L131" s="1504">
        <f t="shared" si="9"/>
        <v>8.6392999999999986</v>
      </c>
      <c r="M131" s="1507" t="s">
        <v>2849</v>
      </c>
      <c r="N131" s="1508">
        <v>0.11</v>
      </c>
      <c r="O131" s="1508"/>
      <c r="P131" s="1509" t="s">
        <v>2741</v>
      </c>
      <c r="Q131" s="1510"/>
      <c r="R131" s="1511">
        <f>H131/40*10</f>
        <v>2.2734999999999999</v>
      </c>
      <c r="T131" s="1481"/>
      <c r="U131" s="1481"/>
    </row>
    <row r="132" spans="1:21" s="1486" customFormat="1" ht="90" x14ac:dyDescent="0.25">
      <c r="A132" s="1500"/>
      <c r="B132" s="1501">
        <v>129</v>
      </c>
      <c r="C132" s="1502" t="s">
        <v>2714</v>
      </c>
      <c r="D132" s="1502">
        <v>53553</v>
      </c>
      <c r="E132" s="1502" t="s">
        <v>348</v>
      </c>
      <c r="F132" s="1503" t="s">
        <v>2850</v>
      </c>
      <c r="G132" s="1504">
        <v>10.97</v>
      </c>
      <c r="H132" s="1504">
        <v>9.9644162999999999</v>
      </c>
      <c r="I132" s="1504">
        <v>0</v>
      </c>
      <c r="J132" s="1504">
        <f>H132/120*12</f>
        <v>0.99644162999999986</v>
      </c>
      <c r="K132" s="1504">
        <f t="shared" si="10"/>
        <v>0.99644162999999986</v>
      </c>
      <c r="L132" s="1504">
        <f t="shared" si="9"/>
        <v>8.9679746700000003</v>
      </c>
      <c r="M132" s="1507" t="s">
        <v>2851</v>
      </c>
      <c r="N132" s="1508">
        <v>0.1143</v>
      </c>
      <c r="O132" s="1508"/>
      <c r="P132" s="1509" t="s">
        <v>2741</v>
      </c>
      <c r="Q132" s="1510"/>
      <c r="R132" s="1511">
        <f>J132*3</f>
        <v>2.9893248899999998</v>
      </c>
      <c r="T132" s="1481"/>
      <c r="U132" s="1481"/>
    </row>
    <row r="133" spans="1:21" s="1486" customFormat="1" ht="60" x14ac:dyDescent="0.25">
      <c r="A133" s="1500"/>
      <c r="B133" s="1501">
        <v>130</v>
      </c>
      <c r="C133" s="1502" t="s">
        <v>2714</v>
      </c>
      <c r="D133" s="1502">
        <v>53554</v>
      </c>
      <c r="E133" s="1502" t="s">
        <v>349</v>
      </c>
      <c r="F133" s="1503" t="s">
        <v>2852</v>
      </c>
      <c r="G133" s="1504">
        <v>15.47</v>
      </c>
      <c r="H133" s="1504">
        <v>13.536249998000002</v>
      </c>
      <c r="I133" s="1504">
        <v>0</v>
      </c>
      <c r="J133" s="1504">
        <v>1.5470000039999998</v>
      </c>
      <c r="K133" s="1504">
        <f t="shared" si="10"/>
        <v>1.5470000039999998</v>
      </c>
      <c r="L133" s="1504">
        <f t="shared" si="9"/>
        <v>11.989249994000003</v>
      </c>
      <c r="M133" s="1507" t="s">
        <v>2825</v>
      </c>
      <c r="N133" s="1508">
        <v>0.1096</v>
      </c>
      <c r="O133" s="1508"/>
      <c r="P133" s="1509" t="s">
        <v>2741</v>
      </c>
      <c r="Q133" s="1510"/>
      <c r="R133" s="1511">
        <f>J133*3</f>
        <v>4.6410000119999992</v>
      </c>
      <c r="T133" s="1481"/>
      <c r="U133" s="1481"/>
    </row>
    <row r="134" spans="1:21" s="1486" customFormat="1" ht="150" x14ac:dyDescent="0.25">
      <c r="A134" s="1500"/>
      <c r="B134" s="1501">
        <v>131</v>
      </c>
      <c r="C134" s="1502" t="s">
        <v>2714</v>
      </c>
      <c r="D134" s="1502">
        <v>53555</v>
      </c>
      <c r="E134" s="1502" t="s">
        <v>350</v>
      </c>
      <c r="F134" s="1503" t="s">
        <v>2853</v>
      </c>
      <c r="G134" s="1504">
        <v>8.6560000000000006</v>
      </c>
      <c r="H134" s="1504">
        <v>8.6173044999999995</v>
      </c>
      <c r="I134" s="1504">
        <v>0</v>
      </c>
      <c r="J134" s="1504">
        <v>0</v>
      </c>
      <c r="K134" s="1504">
        <f t="shared" si="10"/>
        <v>0</v>
      </c>
      <c r="L134" s="1504">
        <f t="shared" si="9"/>
        <v>8.6173044999999995</v>
      </c>
      <c r="M134" s="1507" t="s">
        <v>2854</v>
      </c>
      <c r="N134" s="1508">
        <v>0.1017</v>
      </c>
      <c r="O134" s="1508"/>
      <c r="P134" s="1509" t="s">
        <v>2741</v>
      </c>
      <c r="Q134" s="1510"/>
      <c r="R134" s="1511">
        <f>H134/40*5</f>
        <v>1.0771630624999999</v>
      </c>
      <c r="T134" s="1481"/>
      <c r="U134" s="1481"/>
    </row>
    <row r="135" spans="1:21" s="1486" customFormat="1" ht="135" x14ac:dyDescent="0.25">
      <c r="A135" s="1500"/>
      <c r="B135" s="1501">
        <v>132</v>
      </c>
      <c r="C135" s="1502" t="s">
        <v>2714</v>
      </c>
      <c r="D135" s="1502">
        <v>53556</v>
      </c>
      <c r="E135" s="1502" t="s">
        <v>351</v>
      </c>
      <c r="F135" s="1503" t="s">
        <v>2855</v>
      </c>
      <c r="G135" s="1504">
        <v>18.170000000000002</v>
      </c>
      <c r="H135" s="1504">
        <v>17.277994700000001</v>
      </c>
      <c r="I135" s="1504">
        <v>0</v>
      </c>
      <c r="J135" s="1504">
        <v>0</v>
      </c>
      <c r="K135" s="1504">
        <f t="shared" si="10"/>
        <v>0</v>
      </c>
      <c r="L135" s="1504">
        <f t="shared" si="9"/>
        <v>17.277994700000001</v>
      </c>
      <c r="M135" s="1507" t="s">
        <v>2856</v>
      </c>
      <c r="N135" s="1508">
        <v>0.105</v>
      </c>
      <c r="O135" s="1508"/>
      <c r="P135" s="1509" t="s">
        <v>2741</v>
      </c>
      <c r="Q135" s="1510"/>
      <c r="R135" s="1511">
        <f>H135/40*8</f>
        <v>3.4555989400000002</v>
      </c>
      <c r="T135" s="1481"/>
      <c r="U135" s="1481"/>
    </row>
    <row r="136" spans="1:21" s="1486" customFormat="1" ht="60" x14ac:dyDescent="0.25">
      <c r="A136" s="1500"/>
      <c r="B136" s="1501">
        <v>133</v>
      </c>
      <c r="C136" s="1502" t="s">
        <v>2714</v>
      </c>
      <c r="D136" s="1502"/>
      <c r="E136" s="1502" t="s">
        <v>352</v>
      </c>
      <c r="F136" s="1503" t="s">
        <v>2857</v>
      </c>
      <c r="G136" s="1504">
        <v>21.513000000000002</v>
      </c>
      <c r="H136" s="1504">
        <v>4.3018941999999996</v>
      </c>
      <c r="I136" s="1504"/>
      <c r="J136" s="1504">
        <f>H136/120*12</f>
        <v>0.43018941999999999</v>
      </c>
      <c r="K136" s="1504">
        <f t="shared" si="10"/>
        <v>0.43018941999999999</v>
      </c>
      <c r="L136" s="1504">
        <f t="shared" si="9"/>
        <v>3.8717047799999995</v>
      </c>
      <c r="M136" s="1507" t="s">
        <v>2858</v>
      </c>
      <c r="N136" s="1508">
        <v>0.1075</v>
      </c>
      <c r="O136" s="1508"/>
      <c r="P136" s="1509" t="s">
        <v>2741</v>
      </c>
      <c r="Q136" s="1510"/>
      <c r="R136" s="1511">
        <f>J136*3</f>
        <v>1.2905682599999999</v>
      </c>
      <c r="T136" s="1481"/>
      <c r="U136" s="1481"/>
    </row>
    <row r="137" spans="1:21" s="1486" customFormat="1" ht="60" x14ac:dyDescent="0.25">
      <c r="A137" s="1500"/>
      <c r="B137" s="1501">
        <v>134</v>
      </c>
      <c r="C137" s="1502" t="s">
        <v>2714</v>
      </c>
      <c r="D137" s="1502"/>
      <c r="E137" s="1502" t="s">
        <v>353</v>
      </c>
      <c r="F137" s="1503" t="s">
        <v>2859</v>
      </c>
      <c r="G137" s="1504">
        <v>21.93</v>
      </c>
      <c r="H137" s="1504">
        <v>19.552467100000001</v>
      </c>
      <c r="I137" s="1504"/>
      <c r="J137" s="1504">
        <f>0.1827333*12</f>
        <v>2.1927995999999998</v>
      </c>
      <c r="K137" s="1504">
        <f t="shared" si="10"/>
        <v>2.1927995999999998</v>
      </c>
      <c r="L137" s="1504">
        <f t="shared" si="9"/>
        <v>17.3596675</v>
      </c>
      <c r="M137" s="1507" t="s">
        <v>2860</v>
      </c>
      <c r="N137" s="1508">
        <v>0.1075</v>
      </c>
      <c r="O137" s="1508"/>
      <c r="P137" s="1509" t="s">
        <v>2741</v>
      </c>
      <c r="Q137" s="1509"/>
      <c r="R137" s="1505">
        <f>0.1827333*36</f>
        <v>6.5783987999999995</v>
      </c>
      <c r="T137" s="1481"/>
      <c r="U137" s="1481"/>
    </row>
    <row r="138" spans="1:21" s="1486" customFormat="1" ht="135" x14ac:dyDescent="0.25">
      <c r="A138" s="1500"/>
      <c r="B138" s="1501">
        <v>135</v>
      </c>
      <c r="C138" s="1502" t="s">
        <v>2714</v>
      </c>
      <c r="D138" s="1502"/>
      <c r="E138" s="1502" t="s">
        <v>354</v>
      </c>
      <c r="F138" s="1503" t="s">
        <v>2861</v>
      </c>
      <c r="G138" s="1504">
        <v>21.4</v>
      </c>
      <c r="H138" s="1504">
        <v>19.260000399999999</v>
      </c>
      <c r="I138" s="1504"/>
      <c r="J138" s="1504">
        <f>H138/120*12</f>
        <v>1.9260000399999999</v>
      </c>
      <c r="K138" s="1504">
        <f t="shared" si="10"/>
        <v>1.9260000399999999</v>
      </c>
      <c r="L138" s="1504">
        <f t="shared" si="9"/>
        <v>17.334000359999997</v>
      </c>
      <c r="M138" s="1507" t="s">
        <v>2862</v>
      </c>
      <c r="N138" s="1508">
        <v>0.1075</v>
      </c>
      <c r="O138" s="1508"/>
      <c r="P138" s="1509" t="s">
        <v>2863</v>
      </c>
      <c r="Q138" s="1510"/>
      <c r="R138" s="1511">
        <f>H138/120*36</f>
        <v>5.7780001199999997</v>
      </c>
      <c r="T138" s="1481"/>
      <c r="U138" s="1481"/>
    </row>
    <row r="139" spans="1:21" s="1486" customFormat="1" ht="210" x14ac:dyDescent="0.25">
      <c r="A139" s="1500"/>
      <c r="B139" s="1501">
        <v>136</v>
      </c>
      <c r="C139" s="1502" t="s">
        <v>2714</v>
      </c>
      <c r="D139" s="1502"/>
      <c r="E139" s="1502" t="s">
        <v>355</v>
      </c>
      <c r="F139" s="1503" t="s">
        <v>2864</v>
      </c>
      <c r="G139" s="1504">
        <v>9.18</v>
      </c>
      <c r="H139" s="1504">
        <v>9.18</v>
      </c>
      <c r="I139" s="1504"/>
      <c r="J139" s="1504">
        <f>H139/120*7</f>
        <v>0.53549999999999998</v>
      </c>
      <c r="K139" s="1504">
        <f t="shared" si="10"/>
        <v>0.53549999999999998</v>
      </c>
      <c r="L139" s="1504">
        <f t="shared" si="9"/>
        <v>8.644499999999999</v>
      </c>
      <c r="M139" s="1507" t="s">
        <v>2865</v>
      </c>
      <c r="N139" s="1508">
        <v>0.1075</v>
      </c>
      <c r="O139" s="1508"/>
      <c r="P139" s="1509" t="s">
        <v>2863</v>
      </c>
      <c r="Q139" s="1510"/>
      <c r="R139" s="1511">
        <f>H139/120*31</f>
        <v>2.3715000000000002</v>
      </c>
      <c r="T139" s="1481"/>
      <c r="U139" s="1481"/>
    </row>
    <row r="140" spans="1:21" s="1486" customFormat="1" ht="60" x14ac:dyDescent="0.25">
      <c r="A140" s="1500"/>
      <c r="B140" s="1501">
        <v>137</v>
      </c>
      <c r="C140" s="1502" t="s">
        <v>2714</v>
      </c>
      <c r="D140" s="1502"/>
      <c r="E140" s="1502" t="s">
        <v>356</v>
      </c>
      <c r="F140" s="1503" t="s">
        <v>2866</v>
      </c>
      <c r="G140" s="1504">
        <v>17.739999999999998</v>
      </c>
      <c r="H140" s="1504">
        <v>1.2502884999999999</v>
      </c>
      <c r="I140" s="1504"/>
      <c r="J140" s="1504">
        <v>0</v>
      </c>
      <c r="K140" s="1504">
        <f t="shared" si="10"/>
        <v>0</v>
      </c>
      <c r="L140" s="1504">
        <f t="shared" si="9"/>
        <v>1.2502884999999999</v>
      </c>
      <c r="M140" s="1507" t="s">
        <v>2867</v>
      </c>
      <c r="N140" s="1508">
        <v>0.105</v>
      </c>
      <c r="O140" s="1508"/>
      <c r="P140" s="1509" t="s">
        <v>2741</v>
      </c>
      <c r="Q140" s="1510"/>
      <c r="R140" s="1511">
        <f>H140/120*18</f>
        <v>0.18754327499999998</v>
      </c>
      <c r="T140" s="1481"/>
      <c r="U140" s="1481"/>
    </row>
    <row r="141" spans="1:21" s="1486" customFormat="1" ht="195" x14ac:dyDescent="0.25">
      <c r="A141" s="1500"/>
      <c r="B141" s="1501">
        <v>138</v>
      </c>
      <c r="C141" s="1502" t="s">
        <v>2714</v>
      </c>
      <c r="D141" s="1502"/>
      <c r="E141" s="1502" t="s">
        <v>357</v>
      </c>
      <c r="F141" s="1503" t="s">
        <v>2868</v>
      </c>
      <c r="G141" s="1504">
        <v>12.827199999999999</v>
      </c>
      <c r="H141" s="1504">
        <v>10.7826948</v>
      </c>
      <c r="I141" s="1504"/>
      <c r="J141" s="1504">
        <v>0</v>
      </c>
      <c r="K141" s="1504">
        <f t="shared" si="10"/>
        <v>0</v>
      </c>
      <c r="L141" s="1504">
        <f t="shared" si="9"/>
        <v>10.7826948</v>
      </c>
      <c r="M141" s="1507" t="s">
        <v>2869</v>
      </c>
      <c r="N141" s="1508">
        <v>0.10249999999999999</v>
      </c>
      <c r="O141" s="1508"/>
      <c r="P141" s="1509" t="s">
        <v>2741</v>
      </c>
      <c r="Q141" s="1510"/>
      <c r="R141" s="1511">
        <f>H141/120*24</f>
        <v>2.1565389600000002</v>
      </c>
      <c r="T141" s="1481"/>
      <c r="U141" s="1481"/>
    </row>
    <row r="142" spans="1:21" s="1486" customFormat="1" ht="75" x14ac:dyDescent="0.25">
      <c r="A142" s="1500"/>
      <c r="B142" s="1501">
        <v>139</v>
      </c>
      <c r="C142" s="1502" t="s">
        <v>2714</v>
      </c>
      <c r="D142" s="1502"/>
      <c r="E142" s="1502" t="s">
        <v>358</v>
      </c>
      <c r="F142" s="1503" t="s">
        <v>2870</v>
      </c>
      <c r="G142" s="1504">
        <v>9.0299999999999994</v>
      </c>
      <c r="H142" s="1504">
        <v>8.3715624999999996</v>
      </c>
      <c r="I142" s="1504"/>
      <c r="J142" s="1504">
        <f>H142/120*12</f>
        <v>0.83715624999999994</v>
      </c>
      <c r="K142" s="1504">
        <f t="shared" si="10"/>
        <v>0.83715624999999994</v>
      </c>
      <c r="L142" s="1504">
        <f t="shared" si="9"/>
        <v>7.53440625</v>
      </c>
      <c r="M142" s="1507" t="s">
        <v>2871</v>
      </c>
      <c r="N142" s="1508">
        <v>0.1075</v>
      </c>
      <c r="O142" s="1508"/>
      <c r="P142" s="1509" t="s">
        <v>2863</v>
      </c>
      <c r="Q142" s="1510"/>
      <c r="R142" s="1511">
        <f>J142*3</f>
        <v>2.5114687499999997</v>
      </c>
      <c r="T142" s="1481"/>
      <c r="U142" s="1481"/>
    </row>
    <row r="143" spans="1:21" s="1486" customFormat="1" ht="60" x14ac:dyDescent="0.25">
      <c r="A143" s="1500"/>
      <c r="B143" s="1501">
        <v>140</v>
      </c>
      <c r="C143" s="1502" t="s">
        <v>2714</v>
      </c>
      <c r="D143" s="1502"/>
      <c r="E143" s="1502" t="s">
        <v>359</v>
      </c>
      <c r="F143" s="1503" t="s">
        <v>2872</v>
      </c>
      <c r="G143" s="1504">
        <v>12.05</v>
      </c>
      <c r="H143" s="1504">
        <v>12.048</v>
      </c>
      <c r="I143" s="1504"/>
      <c r="J143" s="1504">
        <f>H143/120*12</f>
        <v>1.2048000000000001</v>
      </c>
      <c r="K143" s="1504">
        <f t="shared" si="10"/>
        <v>1.2048000000000001</v>
      </c>
      <c r="L143" s="1504">
        <f t="shared" si="9"/>
        <v>10.8432</v>
      </c>
      <c r="M143" s="1507" t="s">
        <v>2873</v>
      </c>
      <c r="N143" s="1508">
        <v>0.1075</v>
      </c>
      <c r="O143" s="1508"/>
      <c r="P143" s="1509" t="s">
        <v>2741</v>
      </c>
      <c r="Q143" s="1510"/>
      <c r="R143" s="1511">
        <f>J143*3</f>
        <v>3.6144000000000003</v>
      </c>
      <c r="T143" s="1481"/>
      <c r="U143" s="1481"/>
    </row>
    <row r="144" spans="1:21" s="1486" customFormat="1" ht="60" x14ac:dyDescent="0.25">
      <c r="A144" s="1500"/>
      <c r="B144" s="1501">
        <v>141</v>
      </c>
      <c r="C144" s="1502" t="s">
        <v>2714</v>
      </c>
      <c r="D144" s="1502"/>
      <c r="E144" s="1502" t="s">
        <v>360</v>
      </c>
      <c r="F144" s="1503" t="s">
        <v>2874</v>
      </c>
      <c r="G144" s="1504">
        <v>8.5359999999999996</v>
      </c>
      <c r="H144" s="1504">
        <v>8.1803331999999997</v>
      </c>
      <c r="I144" s="1504"/>
      <c r="J144" s="1504">
        <f>H144/120*12</f>
        <v>0.81803331999999995</v>
      </c>
      <c r="K144" s="1504">
        <f t="shared" si="10"/>
        <v>0.81803331999999995</v>
      </c>
      <c r="L144" s="1504">
        <f t="shared" si="9"/>
        <v>7.3622998800000001</v>
      </c>
      <c r="M144" s="1507" t="s">
        <v>2875</v>
      </c>
      <c r="N144" s="1508">
        <v>0.1075</v>
      </c>
      <c r="O144" s="1508"/>
      <c r="P144" s="1509" t="s">
        <v>2741</v>
      </c>
      <c r="Q144" s="1510"/>
      <c r="R144" s="1511">
        <f>J144*3</f>
        <v>2.4540999599999997</v>
      </c>
      <c r="T144" s="1481"/>
      <c r="U144" s="1481"/>
    </row>
    <row r="145" spans="1:21" s="1486" customFormat="1" ht="75" x14ac:dyDescent="0.25">
      <c r="A145" s="1500"/>
      <c r="B145" s="1501">
        <v>142</v>
      </c>
      <c r="C145" s="1502" t="s">
        <v>2714</v>
      </c>
      <c r="D145" s="1502"/>
      <c r="E145" s="1502" t="s">
        <v>361</v>
      </c>
      <c r="F145" s="1503" t="s">
        <v>2876</v>
      </c>
      <c r="G145" s="1504">
        <v>8.4580000000000002</v>
      </c>
      <c r="H145" s="1504">
        <v>7.7531669000000001</v>
      </c>
      <c r="I145" s="1504"/>
      <c r="J145" s="1504">
        <f>H145/120*12</f>
        <v>0.77531669000000014</v>
      </c>
      <c r="K145" s="1504">
        <f t="shared" si="10"/>
        <v>0.77531669000000014</v>
      </c>
      <c r="L145" s="1504">
        <f t="shared" si="9"/>
        <v>6.9778502099999997</v>
      </c>
      <c r="M145" s="1507" t="s">
        <v>2877</v>
      </c>
      <c r="N145" s="1508">
        <v>0.1075</v>
      </c>
      <c r="O145" s="1508"/>
      <c r="P145" s="1509" t="s">
        <v>2741</v>
      </c>
      <c r="Q145" s="1510"/>
      <c r="R145" s="1511">
        <f>J145*3</f>
        <v>2.3259500700000002</v>
      </c>
      <c r="T145" s="1481"/>
      <c r="U145" s="1481"/>
    </row>
    <row r="146" spans="1:21" s="1486" customFormat="1" ht="105" x14ac:dyDescent="0.25">
      <c r="A146" s="1500"/>
      <c r="B146" s="1501">
        <v>143</v>
      </c>
      <c r="C146" s="1502" t="s">
        <v>2714</v>
      </c>
      <c r="D146" s="1502"/>
      <c r="E146" s="1502" t="s">
        <v>362</v>
      </c>
      <c r="F146" s="1503" t="s">
        <v>2878</v>
      </c>
      <c r="G146" s="1504">
        <v>11.07</v>
      </c>
      <c r="H146" s="1504">
        <v>7.8188370000000003</v>
      </c>
      <c r="I146" s="1504"/>
      <c r="J146" s="1504">
        <v>0</v>
      </c>
      <c r="K146" s="1504">
        <f t="shared" si="10"/>
        <v>0</v>
      </c>
      <c r="L146" s="1504">
        <f t="shared" si="9"/>
        <v>7.8188370000000003</v>
      </c>
      <c r="M146" s="1507" t="s">
        <v>2879</v>
      </c>
      <c r="N146" s="1508">
        <v>0.1075</v>
      </c>
      <c r="O146" s="1508"/>
      <c r="P146" s="1509" t="s">
        <v>2863</v>
      </c>
      <c r="Q146" s="1510"/>
      <c r="R146" s="1511">
        <f>H146/120*15</f>
        <v>0.97735462500000003</v>
      </c>
      <c r="T146" s="1481"/>
      <c r="U146" s="1481"/>
    </row>
    <row r="147" spans="1:21" s="1486" customFormat="1" ht="135" x14ac:dyDescent="0.25">
      <c r="A147" s="1500"/>
      <c r="B147" s="1501">
        <v>144</v>
      </c>
      <c r="C147" s="1502" t="s">
        <v>2714</v>
      </c>
      <c r="D147" s="1502"/>
      <c r="E147" s="1502" t="s">
        <v>363</v>
      </c>
      <c r="F147" s="1503" t="s">
        <v>2880</v>
      </c>
      <c r="G147" s="1504">
        <v>8.83</v>
      </c>
      <c r="H147" s="1504">
        <v>4.0413686999999996</v>
      </c>
      <c r="I147" s="1504"/>
      <c r="J147" s="1504">
        <f>H147/120*4</f>
        <v>0.13471228999999998</v>
      </c>
      <c r="K147" s="1504">
        <f t="shared" si="10"/>
        <v>0.13471228999999998</v>
      </c>
      <c r="L147" s="1504">
        <f t="shared" si="9"/>
        <v>3.9066564099999996</v>
      </c>
      <c r="M147" s="1507" t="s">
        <v>2881</v>
      </c>
      <c r="N147" s="1508">
        <v>0.1075</v>
      </c>
      <c r="O147" s="1508"/>
      <c r="P147" s="1509" t="s">
        <v>2863</v>
      </c>
      <c r="Q147" s="1510"/>
      <c r="R147" s="1511">
        <f>H147/120*28</f>
        <v>0.94298602999999992</v>
      </c>
      <c r="T147" s="1481"/>
      <c r="U147" s="1481"/>
    </row>
    <row r="148" spans="1:21" s="1486" customFormat="1" ht="75" x14ac:dyDescent="0.25">
      <c r="A148" s="1500"/>
      <c r="B148" s="1501">
        <v>146</v>
      </c>
      <c r="C148" s="1502" t="s">
        <v>2714</v>
      </c>
      <c r="D148" s="1502"/>
      <c r="E148" s="1502" t="s">
        <v>364</v>
      </c>
      <c r="F148" s="1503" t="s">
        <v>2882</v>
      </c>
      <c r="G148" s="1504">
        <v>78.930000000000007</v>
      </c>
      <c r="H148" s="1504">
        <v>5.8583692000000003</v>
      </c>
      <c r="I148" s="1504"/>
      <c r="J148" s="1504">
        <f>0.0697425*12</f>
        <v>0.83691000000000004</v>
      </c>
      <c r="K148" s="1504">
        <f t="shared" si="10"/>
        <v>0.83691000000000004</v>
      </c>
      <c r="L148" s="1504">
        <f t="shared" si="9"/>
        <v>5.0214592000000007</v>
      </c>
      <c r="M148" s="1507" t="s">
        <v>2883</v>
      </c>
      <c r="N148" s="1508">
        <v>0.1067</v>
      </c>
      <c r="O148" s="1508"/>
      <c r="P148" s="1509" t="s">
        <v>2863</v>
      </c>
      <c r="Q148" s="1509"/>
      <c r="R148" s="1505">
        <f>0.0697425*36</f>
        <v>2.5107300000000001</v>
      </c>
      <c r="T148" s="1481"/>
      <c r="U148" s="1481"/>
    </row>
    <row r="149" spans="1:21" s="1486" customFormat="1" ht="60" x14ac:dyDescent="0.25">
      <c r="A149" s="1500"/>
      <c r="B149" s="1501">
        <v>147</v>
      </c>
      <c r="C149" s="1502" t="s">
        <v>2714</v>
      </c>
      <c r="D149" s="1502"/>
      <c r="E149" s="1502" t="s">
        <v>365</v>
      </c>
      <c r="F149" s="1503" t="s">
        <v>2884</v>
      </c>
      <c r="G149" s="1504">
        <v>17.329999999999998</v>
      </c>
      <c r="H149" s="1504">
        <v>16.427395934</v>
      </c>
      <c r="I149" s="1504"/>
      <c r="J149" s="1504">
        <f>H149/120*12</f>
        <v>1.6427395934</v>
      </c>
      <c r="K149" s="1504">
        <f t="shared" si="10"/>
        <v>1.6427395934</v>
      </c>
      <c r="L149" s="1504">
        <f t="shared" si="9"/>
        <v>14.7846563406</v>
      </c>
      <c r="M149" s="1507" t="s">
        <v>2885</v>
      </c>
      <c r="N149" s="1508">
        <v>0.1075</v>
      </c>
      <c r="O149" s="1508"/>
      <c r="P149" s="1509" t="s">
        <v>2741</v>
      </c>
      <c r="Q149" s="1509"/>
      <c r="R149" s="1505">
        <f>J149*3</f>
        <v>4.9282187801999999</v>
      </c>
      <c r="T149" s="1481"/>
      <c r="U149" s="1481"/>
    </row>
    <row r="150" spans="1:21" s="1486" customFormat="1" ht="165" x14ac:dyDescent="0.25">
      <c r="A150" s="1500"/>
      <c r="B150" s="1501">
        <v>148</v>
      </c>
      <c r="C150" s="1502" t="s">
        <v>2714</v>
      </c>
      <c r="D150" s="1502"/>
      <c r="E150" s="1502" t="s">
        <v>366</v>
      </c>
      <c r="F150" s="1503" t="s">
        <v>2886</v>
      </c>
      <c r="G150" s="1504">
        <v>12.34</v>
      </c>
      <c r="H150" s="1504">
        <v>11.7230002</v>
      </c>
      <c r="I150" s="1504"/>
      <c r="J150" s="1504">
        <f>H150/120*12</f>
        <v>1.17230002</v>
      </c>
      <c r="K150" s="1504">
        <f t="shared" si="10"/>
        <v>1.17230002</v>
      </c>
      <c r="L150" s="1504">
        <f t="shared" si="9"/>
        <v>10.55070018</v>
      </c>
      <c r="M150" s="1507" t="s">
        <v>2887</v>
      </c>
      <c r="N150" s="1508">
        <v>0.1075</v>
      </c>
      <c r="O150" s="1508"/>
      <c r="P150" s="1509" t="s">
        <v>2741</v>
      </c>
      <c r="Q150" s="1510"/>
      <c r="R150" s="1511">
        <f>J150*3</f>
        <v>3.5169000600000002</v>
      </c>
      <c r="T150" s="1481"/>
      <c r="U150" s="1481"/>
    </row>
    <row r="151" spans="1:21" s="1486" customFormat="1" ht="180" x14ac:dyDescent="0.25">
      <c r="A151" s="1500"/>
      <c r="B151" s="1501">
        <v>149</v>
      </c>
      <c r="C151" s="1502" t="s">
        <v>2714</v>
      </c>
      <c r="D151" s="1502"/>
      <c r="E151" s="1502" t="s">
        <v>367</v>
      </c>
      <c r="F151" s="1503" t="s">
        <v>2888</v>
      </c>
      <c r="G151" s="1504">
        <v>8.52</v>
      </c>
      <c r="H151" s="1504">
        <v>8.52</v>
      </c>
      <c r="I151" s="1504"/>
      <c r="J151" s="1504">
        <f>H151/120*12</f>
        <v>0.85199999999999987</v>
      </c>
      <c r="K151" s="1504">
        <f t="shared" si="10"/>
        <v>0.85199999999999987</v>
      </c>
      <c r="L151" s="1504">
        <f t="shared" si="9"/>
        <v>7.6679999999999993</v>
      </c>
      <c r="M151" s="1507" t="s">
        <v>2873</v>
      </c>
      <c r="N151" s="1508">
        <v>0.1075</v>
      </c>
      <c r="O151" s="1508"/>
      <c r="P151" s="1509" t="s">
        <v>2741</v>
      </c>
      <c r="Q151" s="1510"/>
      <c r="R151" s="1511">
        <f>H151/120*36</f>
        <v>2.5559999999999996</v>
      </c>
      <c r="T151" s="1481"/>
      <c r="U151" s="1481"/>
    </row>
    <row r="152" spans="1:21" s="1486" customFormat="1" ht="75" x14ac:dyDescent="0.25">
      <c r="A152" s="1500"/>
      <c r="B152" s="1501">
        <v>150</v>
      </c>
      <c r="C152" s="1502" t="s">
        <v>2714</v>
      </c>
      <c r="D152" s="1502"/>
      <c r="E152" s="1502" t="s">
        <v>368</v>
      </c>
      <c r="F152" s="1503" t="s">
        <v>2889</v>
      </c>
      <c r="G152" s="1504">
        <v>10.61</v>
      </c>
      <c r="H152" s="1504">
        <v>2.8145699999999998</v>
      </c>
      <c r="I152" s="1504"/>
      <c r="J152" s="1504">
        <v>0</v>
      </c>
      <c r="K152" s="1504">
        <f t="shared" si="10"/>
        <v>0</v>
      </c>
      <c r="L152" s="1504">
        <f t="shared" si="9"/>
        <v>2.8145699999999998</v>
      </c>
      <c r="M152" s="1507" t="s">
        <v>2867</v>
      </c>
      <c r="N152" s="1508">
        <v>0.105</v>
      </c>
      <c r="O152" s="1508"/>
      <c r="P152" s="1509" t="s">
        <v>2741</v>
      </c>
      <c r="Q152" s="1510"/>
      <c r="R152" s="1511">
        <f>H152/120*19</f>
        <v>0.44564025000000002</v>
      </c>
      <c r="T152" s="1481"/>
      <c r="U152" s="1481"/>
    </row>
    <row r="153" spans="1:21" s="1486" customFormat="1" ht="60" x14ac:dyDescent="0.25">
      <c r="A153" s="1500"/>
      <c r="B153" s="1501">
        <v>151</v>
      </c>
      <c r="C153" s="1502" t="s">
        <v>2714</v>
      </c>
      <c r="D153" s="1502">
        <v>53428</v>
      </c>
      <c r="E153" s="1502">
        <v>15656</v>
      </c>
      <c r="F153" s="1531" t="s">
        <v>2890</v>
      </c>
      <c r="G153" s="1504">
        <v>9.92</v>
      </c>
      <c r="H153" s="1532">
        <v>2.4887771999999999</v>
      </c>
      <c r="I153" s="1520"/>
      <c r="J153" s="1520">
        <v>0</v>
      </c>
      <c r="K153" s="1520">
        <f t="shared" si="10"/>
        <v>0</v>
      </c>
      <c r="L153" s="1520">
        <f t="shared" si="9"/>
        <v>2.4887771999999999</v>
      </c>
      <c r="M153" s="1507" t="s">
        <v>2869</v>
      </c>
      <c r="N153" s="1508">
        <v>9.5000000000000001E-2</v>
      </c>
      <c r="O153" s="1508"/>
      <c r="P153" s="1509" t="s">
        <v>2741</v>
      </c>
      <c r="Q153" s="1510"/>
      <c r="R153" s="1511">
        <f>H153/120*24</f>
        <v>0.49775544000000005</v>
      </c>
      <c r="T153" s="1481"/>
      <c r="U153" s="1481"/>
    </row>
    <row r="154" spans="1:21" s="1486" customFormat="1" ht="60" x14ac:dyDescent="0.25">
      <c r="A154" s="1500"/>
      <c r="B154" s="1501">
        <v>152</v>
      </c>
      <c r="C154" s="1502" t="s">
        <v>2714</v>
      </c>
      <c r="D154" s="1502">
        <v>53426</v>
      </c>
      <c r="E154" s="1502">
        <v>15654</v>
      </c>
      <c r="F154" s="1531" t="s">
        <v>2891</v>
      </c>
      <c r="G154" s="1504">
        <v>14.66</v>
      </c>
      <c r="H154" s="1532">
        <v>14.656000000000001</v>
      </c>
      <c r="I154" s="1520"/>
      <c r="J154" s="1520">
        <f>H154/120*2</f>
        <v>0.24426666666666669</v>
      </c>
      <c r="K154" s="1520">
        <f t="shared" si="10"/>
        <v>0.24426666666666669</v>
      </c>
      <c r="L154" s="1520">
        <f t="shared" si="9"/>
        <v>14.411733333333334</v>
      </c>
      <c r="M154" s="1507" t="s">
        <v>2892</v>
      </c>
      <c r="N154" s="1508">
        <v>9.5299999999999996E-2</v>
      </c>
      <c r="O154" s="1508"/>
      <c r="P154" s="1509" t="s">
        <v>2741</v>
      </c>
      <c r="Q154" s="1510"/>
      <c r="R154" s="1511">
        <f>H154/120*26</f>
        <v>3.1754666666666669</v>
      </c>
      <c r="T154" s="1481"/>
      <c r="U154" s="1481"/>
    </row>
    <row r="155" spans="1:21" s="1486" customFormat="1" ht="60" x14ac:dyDescent="0.25">
      <c r="A155" s="1500"/>
      <c r="B155" s="1501">
        <v>153</v>
      </c>
      <c r="C155" s="1502" t="s">
        <v>2714</v>
      </c>
      <c r="D155" s="1502">
        <v>53424</v>
      </c>
      <c r="E155" s="1502">
        <v>15643</v>
      </c>
      <c r="F155" s="1531" t="s">
        <v>2893</v>
      </c>
      <c r="G155" s="1504">
        <v>3</v>
      </c>
      <c r="H155" s="1520">
        <v>2.5439002999999998</v>
      </c>
      <c r="I155" s="1520"/>
      <c r="J155" s="1520">
        <v>0</v>
      </c>
      <c r="K155" s="1520">
        <f t="shared" si="10"/>
        <v>0</v>
      </c>
      <c r="L155" s="1520">
        <f t="shared" si="9"/>
        <v>2.5439002999999998</v>
      </c>
      <c r="M155" s="1507" t="s">
        <v>2894</v>
      </c>
      <c r="N155" s="1508">
        <v>9.5000000000000001E-2</v>
      </c>
      <c r="O155" s="1508"/>
      <c r="P155" s="1509" t="s">
        <v>2895</v>
      </c>
      <c r="Q155" s="1510"/>
      <c r="R155" s="1511">
        <f>H155/36*16</f>
        <v>1.1306223555555555</v>
      </c>
      <c r="T155" s="1481"/>
      <c r="U155" s="1481"/>
    </row>
    <row r="156" spans="1:21" s="1486" customFormat="1" ht="60" x14ac:dyDescent="0.25">
      <c r="A156" s="1500"/>
      <c r="B156" s="1501">
        <v>154</v>
      </c>
      <c r="C156" s="1502" t="s">
        <v>2714</v>
      </c>
      <c r="D156" s="1502">
        <v>53430</v>
      </c>
      <c r="E156" s="1502">
        <v>16052</v>
      </c>
      <c r="F156" s="1531" t="s">
        <v>2896</v>
      </c>
      <c r="G156" s="1504">
        <v>32.28</v>
      </c>
      <c r="H156" s="1520">
        <v>30.128</v>
      </c>
      <c r="I156" s="1520"/>
      <c r="J156" s="1520">
        <f>H156/120*12</f>
        <v>3.0127999999999999</v>
      </c>
      <c r="K156" s="1520">
        <f t="shared" si="10"/>
        <v>3.0127999999999999</v>
      </c>
      <c r="L156" s="1520">
        <f t="shared" si="9"/>
        <v>27.115200000000002</v>
      </c>
      <c r="M156" s="1507" t="s">
        <v>2897</v>
      </c>
      <c r="N156" s="1508">
        <v>9.5000000000000001E-2</v>
      </c>
      <c r="O156" s="1508"/>
      <c r="P156" s="1509" t="s">
        <v>2741</v>
      </c>
      <c r="Q156" s="1510"/>
      <c r="R156" s="1511">
        <f>J156*3</f>
        <v>9.0383999999999993</v>
      </c>
      <c r="T156" s="1481"/>
      <c r="U156" s="1481"/>
    </row>
    <row r="157" spans="1:21" s="1486" customFormat="1" ht="60" x14ac:dyDescent="0.25">
      <c r="A157" s="1500"/>
      <c r="B157" s="1501">
        <v>155</v>
      </c>
      <c r="C157" s="1502" t="s">
        <v>2714</v>
      </c>
      <c r="D157" s="1502">
        <v>53435</v>
      </c>
      <c r="E157" s="1502">
        <v>16057</v>
      </c>
      <c r="F157" s="1531" t="s">
        <v>2898</v>
      </c>
      <c r="G157" s="1504">
        <v>16.91</v>
      </c>
      <c r="H157" s="1520">
        <v>16.017539800000002</v>
      </c>
      <c r="I157" s="1520"/>
      <c r="J157" s="1520">
        <v>0</v>
      </c>
      <c r="K157" s="1520">
        <f t="shared" si="10"/>
        <v>0</v>
      </c>
      <c r="L157" s="1520">
        <f t="shared" si="9"/>
        <v>16.017539800000002</v>
      </c>
      <c r="M157" s="1507" t="s">
        <v>2899</v>
      </c>
      <c r="N157" s="1508">
        <v>9.5000000000000001E-2</v>
      </c>
      <c r="O157" s="1508"/>
      <c r="P157" s="1509" t="s">
        <v>2895</v>
      </c>
      <c r="Q157" s="1510"/>
      <c r="R157" s="1511">
        <f>H157/120*18</f>
        <v>2.4026309700000001</v>
      </c>
      <c r="T157" s="1481"/>
      <c r="U157" s="1481"/>
    </row>
    <row r="158" spans="1:21" s="1486" customFormat="1" ht="105" x14ac:dyDescent="0.25">
      <c r="A158" s="1500"/>
      <c r="B158" s="1501">
        <v>156</v>
      </c>
      <c r="C158" s="1502" t="s">
        <v>2714</v>
      </c>
      <c r="D158" s="1502">
        <v>53592</v>
      </c>
      <c r="E158" s="1502" t="s">
        <v>375</v>
      </c>
      <c r="F158" s="1503" t="s">
        <v>2708</v>
      </c>
      <c r="G158" s="1504">
        <v>1000</v>
      </c>
      <c r="H158" s="1504">
        <v>938.07950470000003</v>
      </c>
      <c r="I158" s="1504"/>
      <c r="J158" s="1504">
        <f>H158/96*12</f>
        <v>117.25993808749999</v>
      </c>
      <c r="K158" s="1504">
        <f>I158+J158</f>
        <v>117.25993808749999</v>
      </c>
      <c r="L158" s="1504">
        <f>+H158-K158</f>
        <v>820.81956661250001</v>
      </c>
      <c r="M158" s="1507" t="s">
        <v>2900</v>
      </c>
      <c r="N158" s="1508">
        <v>0.10009999999999999</v>
      </c>
      <c r="O158" s="1508"/>
      <c r="P158" s="1529" t="s">
        <v>2901</v>
      </c>
      <c r="Q158" s="1533"/>
      <c r="R158" s="1511">
        <f>J158*3</f>
        <v>351.77981426249994</v>
      </c>
      <c r="T158" s="1481"/>
      <c r="U158" s="1481"/>
    </row>
    <row r="159" spans="1:21" ht="53.25" x14ac:dyDescent="0.25">
      <c r="A159" s="1500"/>
      <c r="B159" s="1501">
        <v>157</v>
      </c>
      <c r="C159" s="1502" t="s">
        <v>2714</v>
      </c>
      <c r="D159" s="1502"/>
      <c r="E159" s="1502" t="s">
        <v>369</v>
      </c>
      <c r="F159" s="1503" t="s">
        <v>2708</v>
      </c>
      <c r="G159" s="1504">
        <v>1800</v>
      </c>
      <c r="H159" s="1504">
        <v>1800</v>
      </c>
      <c r="I159" s="1504"/>
      <c r="J159" s="1504">
        <v>0</v>
      </c>
      <c r="K159" s="1504">
        <f>I159+J159</f>
        <v>0</v>
      </c>
      <c r="L159" s="1504">
        <f>+H159-K159</f>
        <v>1800</v>
      </c>
      <c r="M159" s="1507" t="s">
        <v>2902</v>
      </c>
      <c r="N159" s="1508">
        <v>9.5000000000000001E-2</v>
      </c>
      <c r="O159" s="1508"/>
      <c r="P159" s="1509" t="s">
        <v>2712</v>
      </c>
      <c r="Q159" s="1533"/>
      <c r="R159" s="1511">
        <f>H159/96*18</f>
        <v>337.5</v>
      </c>
    </row>
    <row r="160" spans="1:21" ht="45" x14ac:dyDescent="0.25">
      <c r="A160" s="1500"/>
      <c r="B160" s="1501">
        <v>158</v>
      </c>
      <c r="C160" s="1507" t="s">
        <v>416</v>
      </c>
      <c r="D160" s="1483">
        <v>53422</v>
      </c>
      <c r="E160" s="1534">
        <v>36174151137</v>
      </c>
      <c r="F160" s="1503" t="s">
        <v>2903</v>
      </c>
      <c r="G160" s="1504">
        <v>2198.1</v>
      </c>
      <c r="H160" s="1504">
        <v>1066.6391994000001</v>
      </c>
      <c r="I160" s="1504"/>
      <c r="J160" s="1504">
        <f>43.1*4</f>
        <v>172.4</v>
      </c>
      <c r="K160" s="1504">
        <f t="shared" ref="K160:K163" si="12">I160+J160</f>
        <v>172.4</v>
      </c>
      <c r="L160" s="1504">
        <f t="shared" ref="L160:L162" si="13">+H160-K160</f>
        <v>894.23919940000008</v>
      </c>
      <c r="M160" s="1507" t="s">
        <v>2904</v>
      </c>
      <c r="N160" s="1535">
        <v>9.5000000000000001E-2</v>
      </c>
      <c r="O160" s="1535"/>
      <c r="P160" s="1536" t="s">
        <v>2905</v>
      </c>
      <c r="Q160" s="1537"/>
      <c r="R160" s="1511">
        <f>43.1*12</f>
        <v>517.20000000000005</v>
      </c>
    </row>
    <row r="161" spans="1:19" ht="60" x14ac:dyDescent="0.25">
      <c r="A161" s="1500"/>
      <c r="B161" s="1501">
        <v>159</v>
      </c>
      <c r="C161" s="1507" t="s">
        <v>2906</v>
      </c>
      <c r="D161" s="1507">
        <v>53416</v>
      </c>
      <c r="E161" s="1509" t="s">
        <v>2907</v>
      </c>
      <c r="F161" s="1503" t="s">
        <v>2908</v>
      </c>
      <c r="G161" s="1538" t="s">
        <v>2909</v>
      </c>
      <c r="H161" s="1504">
        <v>110.30695780000001</v>
      </c>
      <c r="I161" s="1504"/>
      <c r="J161" s="1504">
        <v>110.31</v>
      </c>
      <c r="K161" s="1504">
        <f t="shared" si="12"/>
        <v>110.31</v>
      </c>
      <c r="L161" s="1504">
        <f t="shared" si="13"/>
        <v>-3.0421999999958871E-3</v>
      </c>
      <c r="M161" s="1507" t="s">
        <v>2910</v>
      </c>
      <c r="N161" s="1535">
        <v>1.9599999999999999E-2</v>
      </c>
      <c r="O161" s="1535"/>
      <c r="P161" s="1507" t="s">
        <v>2911</v>
      </c>
      <c r="Q161" s="1483"/>
      <c r="R161" s="1511">
        <f>H161</f>
        <v>110.30695780000001</v>
      </c>
    </row>
    <row r="162" spans="1:19" ht="60" x14ac:dyDescent="0.25">
      <c r="A162" s="1500"/>
      <c r="B162" s="1501">
        <v>160</v>
      </c>
      <c r="C162" s="1507" t="s">
        <v>2906</v>
      </c>
      <c r="D162" s="1507">
        <v>53421</v>
      </c>
      <c r="E162" s="1509" t="s">
        <v>386</v>
      </c>
      <c r="F162" s="1503" t="s">
        <v>2912</v>
      </c>
      <c r="G162" s="1538" t="s">
        <v>2913</v>
      </c>
      <c r="H162" s="1504">
        <v>13.2245039</v>
      </c>
      <c r="I162" s="1504"/>
      <c r="J162" s="1504">
        <f>H162</f>
        <v>13.2245039</v>
      </c>
      <c r="K162" s="1504">
        <f t="shared" si="12"/>
        <v>13.2245039</v>
      </c>
      <c r="L162" s="1504">
        <f t="shared" si="13"/>
        <v>0</v>
      </c>
      <c r="M162" s="1507" t="s">
        <v>2910</v>
      </c>
      <c r="N162" s="1535">
        <v>1.9599999999999999E-2</v>
      </c>
      <c r="O162" s="1535"/>
      <c r="P162" s="1507" t="s">
        <v>2911</v>
      </c>
      <c r="Q162" s="1483"/>
      <c r="R162" s="1511">
        <f>H162</f>
        <v>13.2245039</v>
      </c>
    </row>
    <row r="163" spans="1:19" ht="60" x14ac:dyDescent="0.25">
      <c r="A163" s="1500"/>
      <c r="B163" s="1501">
        <v>161</v>
      </c>
      <c r="C163" s="1507" t="s">
        <v>2914</v>
      </c>
      <c r="D163" s="1507">
        <v>53418</v>
      </c>
      <c r="E163" s="1509" t="s">
        <v>388</v>
      </c>
      <c r="F163" s="1503" t="s">
        <v>2915</v>
      </c>
      <c r="G163" s="1538" t="s">
        <v>2916</v>
      </c>
      <c r="H163" s="1504">
        <v>270.909092736925</v>
      </c>
      <c r="I163" s="1504"/>
      <c r="J163" s="1504">
        <f>(77517723/10000000)*2</f>
        <v>15.5035446</v>
      </c>
      <c r="K163" s="1504">
        <f t="shared" si="12"/>
        <v>15.5035446</v>
      </c>
      <c r="L163" s="1504">
        <f>+H163-K163</f>
        <v>255.40554813692501</v>
      </c>
      <c r="M163" s="1507" t="s">
        <v>2917</v>
      </c>
      <c r="N163" s="1507" t="s">
        <v>2918</v>
      </c>
      <c r="O163" s="1507"/>
      <c r="P163" s="1507" t="s">
        <v>2911</v>
      </c>
      <c r="Q163" s="1483"/>
      <c r="R163" s="1511">
        <f>J163*3</f>
        <v>46.510633800000001</v>
      </c>
    </row>
    <row r="164" spans="1:19" s="1550" customFormat="1" ht="75" x14ac:dyDescent="0.25">
      <c r="A164" s="1539"/>
      <c r="B164" s="1501">
        <v>162</v>
      </c>
      <c r="C164" s="1540" t="s">
        <v>2919</v>
      </c>
      <c r="D164" s="1541">
        <v>53801</v>
      </c>
      <c r="E164" s="1542"/>
      <c r="F164" s="1543" t="s">
        <v>2920</v>
      </c>
      <c r="G164" s="1544"/>
      <c r="H164" s="1532">
        <f>'[15]LT Final'!D34</f>
        <v>160.77756410000001</v>
      </c>
      <c r="I164" s="1532"/>
      <c r="J164" s="1532">
        <v>4.2996131999999996</v>
      </c>
      <c r="K164" s="1532">
        <f>'[15]LT Final'!E34</f>
        <v>4.2996131999999996</v>
      </c>
      <c r="L164" s="1504">
        <f>+H164-K164</f>
        <v>156.4779509</v>
      </c>
      <c r="M164" s="1540" t="s">
        <v>2921</v>
      </c>
      <c r="N164" s="1545">
        <v>0.18</v>
      </c>
      <c r="O164" s="1546" t="s">
        <v>1926</v>
      </c>
      <c r="P164" s="1542" t="s">
        <v>1926</v>
      </c>
      <c r="Q164" s="1547"/>
      <c r="R164" s="1548"/>
      <c r="S164" s="1549"/>
    </row>
    <row r="165" spans="1:19" s="1550" customFormat="1" ht="75" x14ac:dyDescent="0.25">
      <c r="A165" s="1539"/>
      <c r="B165" s="1501">
        <v>163</v>
      </c>
      <c r="C165" s="1551" t="s">
        <v>391</v>
      </c>
      <c r="D165" s="1541"/>
      <c r="E165" s="1542"/>
      <c r="F165" s="1543" t="s">
        <v>2922</v>
      </c>
      <c r="G165" s="1544"/>
      <c r="H165" s="1532">
        <f>'[15]balance sheet P&amp;L'!D268</f>
        <v>4.0669728000000003</v>
      </c>
      <c r="I165" s="1532"/>
      <c r="J165" s="1532"/>
      <c r="K165" s="1532">
        <v>0</v>
      </c>
      <c r="L165" s="1504">
        <f>H165</f>
        <v>4.0669728000000003</v>
      </c>
      <c r="M165" s="1552" t="s">
        <v>2923</v>
      </c>
      <c r="N165" s="1545">
        <v>0</v>
      </c>
      <c r="O165" s="1546"/>
      <c r="P165" s="1542" t="s">
        <v>1926</v>
      </c>
      <c r="Q165" s="1547"/>
      <c r="R165" s="1548"/>
      <c r="S165" s="1549"/>
    </row>
    <row r="166" spans="1:19" x14ac:dyDescent="0.25">
      <c r="B166" s="1525"/>
      <c r="C166" s="1525"/>
      <c r="D166" s="1525"/>
      <c r="E166" s="1525"/>
      <c r="F166" s="1553" t="s">
        <v>2924</v>
      </c>
      <c r="G166" s="1554">
        <f t="shared" ref="G166" si="14">SUM(G4:G163)</f>
        <v>48251.639199999983</v>
      </c>
      <c r="H166" s="1554">
        <f>SUM(H4:H165)</f>
        <v>27696.037723270922</v>
      </c>
      <c r="I166" s="1554">
        <f t="shared" ref="I166:L166" si="15">SUM(I4:I165)</f>
        <v>0</v>
      </c>
      <c r="J166" s="1554">
        <f t="shared" si="15"/>
        <v>3008.7013710025644</v>
      </c>
      <c r="K166" s="1554">
        <f t="shared" si="15"/>
        <v>3008.7013710025644</v>
      </c>
      <c r="L166" s="1554">
        <f t="shared" si="15"/>
        <v>24687.33635226835</v>
      </c>
      <c r="M166" s="1507"/>
      <c r="N166" s="1531"/>
      <c r="O166" s="1531"/>
      <c r="P166" s="1525"/>
      <c r="R166" s="1554">
        <f>SUM(R4:R164)</f>
        <v>9928.2276385929817</v>
      </c>
    </row>
    <row r="167" spans="1:19" x14ac:dyDescent="0.25">
      <c r="L167" s="1482"/>
    </row>
    <row r="168" spans="1:19" ht="37.5" customHeight="1" x14ac:dyDescent="0.25">
      <c r="B168" s="1801" t="s">
        <v>2925</v>
      </c>
      <c r="C168" s="1801"/>
      <c r="D168" s="1801"/>
      <c r="E168" s="1801"/>
      <c r="F168" s="1801"/>
      <c r="G168" s="1801"/>
      <c r="H168" s="1801"/>
      <c r="I168" s="1801"/>
      <c r="J168" s="1801"/>
      <c r="K168" s="1801"/>
      <c r="L168" s="1801"/>
      <c r="M168" s="1801"/>
      <c r="N168" s="1801"/>
      <c r="O168" s="1801"/>
      <c r="P168" s="1801"/>
      <c r="Q168" s="1537"/>
    </row>
    <row r="169" spans="1:19" x14ac:dyDescent="0.25">
      <c r="I169" s="1482"/>
      <c r="J169" s="1482"/>
      <c r="K169" s="1555">
        <f>'[15]balance sheet P&amp;L'!D269+'[15]balance sheet P&amp;L'!D296-K166-L166</f>
        <v>-9.7129195637535304E-6</v>
      </c>
      <c r="L169" s="1482"/>
    </row>
    <row r="170" spans="1:19" x14ac:dyDescent="0.25">
      <c r="F170" s="1510"/>
      <c r="I170" s="1482"/>
      <c r="J170" s="1482"/>
      <c r="L170" s="1482"/>
    </row>
    <row r="171" spans="1:19" x14ac:dyDescent="0.25">
      <c r="I171" s="1482"/>
      <c r="J171" s="1482"/>
      <c r="L171" s="1482"/>
    </row>
    <row r="172" spans="1:19" x14ac:dyDescent="0.25">
      <c r="I172" s="1482"/>
      <c r="J172" s="1482"/>
      <c r="L172" s="1482"/>
    </row>
    <row r="173" spans="1:19" x14ac:dyDescent="0.25">
      <c r="G173" s="1556"/>
      <c r="H173" s="1557"/>
    </row>
    <row r="174" spans="1:19" x14ac:dyDescent="0.25">
      <c r="G174" s="1556"/>
      <c r="H174" s="1557"/>
    </row>
    <row r="177" spans="10:10" x14ac:dyDescent="0.25">
      <c r="J177" s="1482"/>
    </row>
    <row r="178" spans="10:10" x14ac:dyDescent="0.25">
      <c r="J178" s="1482"/>
    </row>
    <row r="179" spans="10:10" x14ac:dyDescent="0.25">
      <c r="J179" s="1482"/>
    </row>
  </sheetData>
  <mergeCells count="1">
    <mergeCell ref="B168:P168"/>
  </mergeCells>
  <pageMargins left="0.7" right="0.7" top="0.75" bottom="0.75" header="0.3" footer="0.3"/>
  <legacy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25" workbookViewId="0">
      <selection activeCell="C4" sqref="C4:C24"/>
    </sheetView>
  </sheetViews>
  <sheetFormatPr defaultColWidth="9.140625" defaultRowHeight="15" x14ac:dyDescent="0.25"/>
  <cols>
    <col min="1" max="1" width="9.140625" style="1550"/>
    <col min="2" max="2" width="23.28515625" style="1578" customWidth="1"/>
    <col min="3" max="3" width="20.140625" style="1550" customWidth="1"/>
    <col min="4" max="4" width="16.42578125" style="1550" customWidth="1"/>
    <col min="5" max="5" width="15.7109375" style="1550" customWidth="1"/>
    <col min="6" max="6" width="19.7109375" style="1584" customWidth="1"/>
    <col min="7" max="7" width="25.42578125" style="1550" customWidth="1"/>
    <col min="8" max="8" width="30.140625" style="1550" customWidth="1"/>
    <col min="9" max="9" width="32.5703125" style="1550" customWidth="1"/>
    <col min="10" max="16384" width="9.140625" style="1550"/>
  </cols>
  <sheetData>
    <row r="1" spans="1:9" ht="15.75" x14ac:dyDescent="0.25">
      <c r="A1" s="1802" t="s">
        <v>2926</v>
      </c>
      <c r="B1" s="1802"/>
      <c r="C1" s="1802"/>
      <c r="D1" s="1802"/>
      <c r="E1" s="1802"/>
      <c r="F1" s="1802"/>
      <c r="G1" s="1802"/>
      <c r="H1" s="1802"/>
      <c r="I1" s="1802"/>
    </row>
    <row r="3" spans="1:9" ht="45" x14ac:dyDescent="0.25">
      <c r="A3" s="1558" t="s">
        <v>510</v>
      </c>
      <c r="B3" s="1558" t="s">
        <v>2623</v>
      </c>
      <c r="C3" s="1558" t="s">
        <v>2624</v>
      </c>
      <c r="D3" s="1558" t="s">
        <v>2626</v>
      </c>
      <c r="E3" s="1558" t="s">
        <v>2627</v>
      </c>
      <c r="F3" s="1559" t="s">
        <v>2628</v>
      </c>
      <c r="G3" s="1558" t="s">
        <v>2927</v>
      </c>
      <c r="H3" s="1558" t="s">
        <v>2928</v>
      </c>
      <c r="I3" s="1558" t="s">
        <v>2635</v>
      </c>
    </row>
    <row r="4" spans="1:9" ht="30" x14ac:dyDescent="0.25">
      <c r="A4" s="1541">
        <v>1</v>
      </c>
      <c r="B4" s="1541" t="s">
        <v>406</v>
      </c>
      <c r="C4" s="1560" t="s">
        <v>407</v>
      </c>
      <c r="D4" s="1803" t="s">
        <v>2929</v>
      </c>
      <c r="E4" s="1561"/>
      <c r="F4" s="1562">
        <f>'[15]Input Sheet'!Q736</f>
        <v>2603.2399999999998</v>
      </c>
      <c r="G4" s="1803" t="s">
        <v>2930</v>
      </c>
      <c r="H4" s="1541" t="s">
        <v>2931</v>
      </c>
      <c r="I4" s="1805" t="s">
        <v>2932</v>
      </c>
    </row>
    <row r="5" spans="1:9" ht="30" x14ac:dyDescent="0.25">
      <c r="A5" s="1541">
        <v>3</v>
      </c>
      <c r="B5" s="1541" t="s">
        <v>410</v>
      </c>
      <c r="C5" s="1560" t="s">
        <v>411</v>
      </c>
      <c r="D5" s="1803"/>
      <c r="E5" s="1561"/>
      <c r="F5" s="1562">
        <f>'[15]Input Sheet'!Q738</f>
        <v>2931.8</v>
      </c>
      <c r="G5" s="1803"/>
      <c r="H5" s="1541" t="s">
        <v>2933</v>
      </c>
      <c r="I5" s="1806"/>
    </row>
    <row r="6" spans="1:9" ht="30" x14ac:dyDescent="0.25">
      <c r="A6" s="1541">
        <v>4</v>
      </c>
      <c r="B6" s="1541" t="s">
        <v>412</v>
      </c>
      <c r="C6" s="1560" t="s">
        <v>413</v>
      </c>
      <c r="D6" s="1803"/>
      <c r="E6" s="1561"/>
      <c r="F6" s="1562">
        <f>'[15]Input Sheet'!Q739</f>
        <v>908.99978729999998</v>
      </c>
      <c r="G6" s="1803"/>
      <c r="H6" s="1541" t="s">
        <v>2934</v>
      </c>
      <c r="I6" s="1806"/>
    </row>
    <row r="7" spans="1:9" ht="30" x14ac:dyDescent="0.25">
      <c r="A7" s="1541">
        <v>5</v>
      </c>
      <c r="B7" s="1541" t="s">
        <v>414</v>
      </c>
      <c r="C7" s="1560" t="s">
        <v>415</v>
      </c>
      <c r="D7" s="1803"/>
      <c r="E7" s="1561"/>
      <c r="F7" s="1562">
        <f>'[15]Input Sheet'!Q740</f>
        <v>340.47577946300004</v>
      </c>
      <c r="G7" s="1803"/>
      <c r="H7" s="1541" t="s">
        <v>2935</v>
      </c>
      <c r="I7" s="1806"/>
    </row>
    <row r="8" spans="1:9" ht="30" x14ac:dyDescent="0.25">
      <c r="A8" s="1541">
        <v>6</v>
      </c>
      <c r="B8" s="1541" t="s">
        <v>416</v>
      </c>
      <c r="C8" s="1560" t="s">
        <v>417</v>
      </c>
      <c r="D8" s="1803"/>
      <c r="E8" s="1561"/>
      <c r="F8" s="1562">
        <f>'[15]Input Sheet'!Q741</f>
        <v>1036.9997295000001</v>
      </c>
      <c r="G8" s="1803"/>
      <c r="H8" s="1541" t="s">
        <v>2936</v>
      </c>
      <c r="I8" s="1806"/>
    </row>
    <row r="9" spans="1:9" x14ac:dyDescent="0.25">
      <c r="A9" s="1541">
        <v>7</v>
      </c>
      <c r="B9" s="1541" t="s">
        <v>418</v>
      </c>
      <c r="C9" s="1560" t="s">
        <v>419</v>
      </c>
      <c r="D9" s="1803"/>
      <c r="E9" s="1561"/>
      <c r="F9" s="1562">
        <f>'[15]Input Sheet'!Q181+'[15]Input Sheet'!Q182</f>
        <v>9.6951829510000014</v>
      </c>
      <c r="G9" s="1541"/>
      <c r="H9" s="1541" t="s">
        <v>2937</v>
      </c>
      <c r="I9" s="1806"/>
    </row>
    <row r="10" spans="1:9" x14ac:dyDescent="0.25">
      <c r="A10" s="1541">
        <v>8</v>
      </c>
      <c r="B10" s="1541" t="s">
        <v>420</v>
      </c>
      <c r="C10" s="1560" t="s">
        <v>421</v>
      </c>
      <c r="D10" s="1803"/>
      <c r="E10" s="1561"/>
      <c r="F10" s="1562">
        <f>'[15]Input Sheet'!Q179+'[15]Input Sheet'!Q180</f>
        <v>0.264445608</v>
      </c>
      <c r="G10" s="1541"/>
      <c r="H10" s="1541" t="s">
        <v>2937</v>
      </c>
      <c r="I10" s="1806"/>
    </row>
    <row r="11" spans="1:9" ht="30" x14ac:dyDescent="0.25">
      <c r="A11" s="1541">
        <v>9</v>
      </c>
      <c r="B11" s="1541" t="s">
        <v>422</v>
      </c>
      <c r="C11" s="1560" t="s">
        <v>423</v>
      </c>
      <c r="D11" s="1803"/>
      <c r="E11" s="1561"/>
      <c r="F11" s="1562">
        <f>'[15]Input Sheet'!Q187+'[15]Input Sheet'!Q188</f>
        <v>-3.1658709999999998E-3</v>
      </c>
      <c r="G11" s="1541"/>
      <c r="H11" s="1541" t="s">
        <v>2937</v>
      </c>
      <c r="I11" s="1806"/>
    </row>
    <row r="12" spans="1:9" x14ac:dyDescent="0.25">
      <c r="A12" s="1541">
        <v>10</v>
      </c>
      <c r="B12" s="1541" t="s">
        <v>424</v>
      </c>
      <c r="C12" s="1560" t="s">
        <v>425</v>
      </c>
      <c r="D12" s="1803"/>
      <c r="E12" s="1561"/>
      <c r="F12" s="1562">
        <f>'[15]Input Sheet'!Q189</f>
        <v>-3.6665582000000002E-2</v>
      </c>
      <c r="G12" s="1541"/>
      <c r="H12" s="1541" t="s">
        <v>2937</v>
      </c>
      <c r="I12" s="1806"/>
    </row>
    <row r="13" spans="1:9" x14ac:dyDescent="0.25">
      <c r="A13" s="1541">
        <v>11</v>
      </c>
      <c r="B13" s="1541" t="s">
        <v>426</v>
      </c>
      <c r="C13" s="1560" t="s">
        <v>427</v>
      </c>
      <c r="D13" s="1803"/>
      <c r="E13" s="1561"/>
      <c r="F13" s="1562">
        <f>('[15]Input Sheet'!Q141+'[15]Input Sheet'!Q142)</f>
        <v>-8.4433019999994308E-3</v>
      </c>
      <c r="G13" s="1541"/>
      <c r="H13" s="1541" t="s">
        <v>2938</v>
      </c>
      <c r="I13" s="1806"/>
    </row>
    <row r="14" spans="1:9" x14ac:dyDescent="0.25">
      <c r="A14" s="1541">
        <v>12</v>
      </c>
      <c r="B14" s="1541" t="s">
        <v>428</v>
      </c>
      <c r="C14" s="1560" t="s">
        <v>429</v>
      </c>
      <c r="D14" s="1803"/>
      <c r="E14" s="1561"/>
      <c r="F14" s="1562">
        <f>'[15]Input Sheet'!Q153+'[15]Input Sheet'!Q154</f>
        <v>583.95756135100009</v>
      </c>
      <c r="G14" s="1541"/>
      <c r="H14" s="1541" t="s">
        <v>2939</v>
      </c>
      <c r="I14" s="1806"/>
    </row>
    <row r="15" spans="1:9" x14ac:dyDescent="0.25">
      <c r="A15" s="1563">
        <v>13</v>
      </c>
      <c r="B15" s="1563" t="s">
        <v>430</v>
      </c>
      <c r="C15" s="1564" t="s">
        <v>431</v>
      </c>
      <c r="D15" s="1804"/>
      <c r="E15" s="1565"/>
      <c r="F15" s="1566">
        <f>'[15]Input Sheet'!Q157+'[15]Input Sheet'!Q158</f>
        <v>14.943226171000003</v>
      </c>
      <c r="G15" s="1563"/>
      <c r="H15" s="1563" t="s">
        <v>2940</v>
      </c>
      <c r="I15" s="1806"/>
    </row>
    <row r="16" spans="1:9" customFormat="1" ht="60" x14ac:dyDescent="0.2">
      <c r="A16" s="1567">
        <v>14</v>
      </c>
      <c r="B16" s="1552" t="s">
        <v>432</v>
      </c>
      <c r="C16" s="474">
        <v>50017</v>
      </c>
      <c r="D16" s="1552" t="s">
        <v>1318</v>
      </c>
      <c r="E16" s="1568">
        <v>500</v>
      </c>
      <c r="F16" s="1569">
        <v>500</v>
      </c>
      <c r="G16" s="1552" t="s">
        <v>2941</v>
      </c>
      <c r="H16" s="1570">
        <v>8.3400000000000002E-2</v>
      </c>
      <c r="I16" s="1552" t="s">
        <v>2942</v>
      </c>
    </row>
    <row r="17" spans="1:9" customFormat="1" ht="60" x14ac:dyDescent="0.2">
      <c r="A17" s="1567">
        <v>15</v>
      </c>
      <c r="B17" s="1552" t="s">
        <v>432</v>
      </c>
      <c r="C17" s="474">
        <v>50017</v>
      </c>
      <c r="D17" s="1552" t="s">
        <v>1318</v>
      </c>
      <c r="E17" s="1568">
        <v>500</v>
      </c>
      <c r="F17" s="1569">
        <f>'[15]Input Sheet'!Q734-'[15]Rep Terms ST'!F16-'[15]Rep Terms ST'!F18</f>
        <v>333.33333319999997</v>
      </c>
      <c r="G17" s="1552" t="s">
        <v>2943</v>
      </c>
      <c r="H17" s="1570">
        <v>8.14E-2</v>
      </c>
      <c r="I17" s="1552" t="s">
        <v>2942</v>
      </c>
    </row>
    <row r="18" spans="1:9" customFormat="1" ht="60" x14ac:dyDescent="0.2">
      <c r="A18" s="1567">
        <v>16</v>
      </c>
      <c r="B18" s="1552" t="s">
        <v>432</v>
      </c>
      <c r="C18" s="474">
        <v>50017</v>
      </c>
      <c r="D18" s="1552" t="s">
        <v>1318</v>
      </c>
      <c r="E18" s="1568">
        <v>650</v>
      </c>
      <c r="F18" s="1569">
        <v>650</v>
      </c>
      <c r="G18" s="1552" t="s">
        <v>2944</v>
      </c>
      <c r="H18" s="1570">
        <v>8.6400000000000005E-2</v>
      </c>
      <c r="I18" s="1552" t="s">
        <v>2942</v>
      </c>
    </row>
    <row r="19" spans="1:9" ht="45" x14ac:dyDescent="0.25">
      <c r="A19" s="1541">
        <v>15</v>
      </c>
      <c r="B19" s="1541" t="s">
        <v>408</v>
      </c>
      <c r="C19" s="1560">
        <v>50002</v>
      </c>
      <c r="D19" s="1541" t="s">
        <v>1318</v>
      </c>
      <c r="E19" s="1561">
        <v>825</v>
      </c>
      <c r="F19" s="1569">
        <f>'[15]Input Sheet'!Q719</f>
        <v>687.49966649999999</v>
      </c>
      <c r="G19" s="1541" t="s">
        <v>2945</v>
      </c>
      <c r="H19" s="1571">
        <v>0.08</v>
      </c>
      <c r="I19" s="1572" t="s">
        <v>2946</v>
      </c>
    </row>
    <row r="20" spans="1:9" customFormat="1" ht="135" x14ac:dyDescent="0.2">
      <c r="A20" s="1552">
        <v>18</v>
      </c>
      <c r="B20" s="1552" t="s">
        <v>433</v>
      </c>
      <c r="C20" s="474">
        <v>50008</v>
      </c>
      <c r="D20" s="1552" t="s">
        <v>1318</v>
      </c>
      <c r="E20" s="1568">
        <v>876</v>
      </c>
      <c r="F20" s="1569">
        <f>'[15]Input Sheet'!Q725-'[15]Rep Terms ST'!F21-'[15]Rep Terms ST'!F22</f>
        <v>525.37109539999983</v>
      </c>
      <c r="G20" s="1573" t="s">
        <v>2947</v>
      </c>
      <c r="H20" s="1570">
        <v>7.8E-2</v>
      </c>
      <c r="I20" s="1552" t="s">
        <v>2948</v>
      </c>
    </row>
    <row r="21" spans="1:9" customFormat="1" ht="75" x14ac:dyDescent="0.2">
      <c r="A21" s="1567">
        <v>19</v>
      </c>
      <c r="B21" s="1552" t="s">
        <v>433</v>
      </c>
      <c r="C21" s="474">
        <v>50008</v>
      </c>
      <c r="D21" s="1552" t="s">
        <v>1318</v>
      </c>
      <c r="E21" s="1568">
        <v>2000</v>
      </c>
      <c r="F21" s="1569">
        <v>2000</v>
      </c>
      <c r="G21" s="1552" t="s">
        <v>2949</v>
      </c>
      <c r="H21" s="1570">
        <v>6.7000000000000004E-2</v>
      </c>
      <c r="I21" s="1552" t="s">
        <v>2950</v>
      </c>
    </row>
    <row r="22" spans="1:9" customFormat="1" ht="75" x14ac:dyDescent="0.2">
      <c r="A22" s="1552">
        <v>20</v>
      </c>
      <c r="B22" s="1552" t="s">
        <v>433</v>
      </c>
      <c r="C22" s="474">
        <v>50008</v>
      </c>
      <c r="D22" s="1552" t="s">
        <v>1318</v>
      </c>
      <c r="E22" s="1568">
        <v>1000</v>
      </c>
      <c r="F22" s="1569">
        <v>1000</v>
      </c>
      <c r="G22" s="1552" t="s">
        <v>2951</v>
      </c>
      <c r="H22" s="1570">
        <v>8.0500000000000002E-2</v>
      </c>
      <c r="I22" s="1552" t="s">
        <v>2942</v>
      </c>
    </row>
    <row r="23" spans="1:9" customFormat="1" ht="75" x14ac:dyDescent="0.2">
      <c r="A23" s="1552">
        <v>21</v>
      </c>
      <c r="B23" s="1552" t="s">
        <v>434</v>
      </c>
      <c r="C23" s="474">
        <v>50015</v>
      </c>
      <c r="D23" s="1552" t="s">
        <v>1318</v>
      </c>
      <c r="E23" s="1568">
        <v>150</v>
      </c>
      <c r="F23" s="1569">
        <f>'[15]Input Sheet'!Q732-'[15]Rep Terms ST'!F24</f>
        <v>62.499998699999992</v>
      </c>
      <c r="G23" s="1552" t="s">
        <v>2952</v>
      </c>
      <c r="H23" s="1570">
        <v>7.5499999999999998E-2</v>
      </c>
      <c r="I23" s="1552" t="s">
        <v>1926</v>
      </c>
    </row>
    <row r="24" spans="1:9" customFormat="1" ht="75" x14ac:dyDescent="0.2">
      <c r="A24" s="1552">
        <v>22</v>
      </c>
      <c r="B24" s="1552" t="s">
        <v>434</v>
      </c>
      <c r="C24" s="474">
        <v>50015</v>
      </c>
      <c r="D24" s="1552" t="s">
        <v>1318</v>
      </c>
      <c r="E24" s="1568">
        <v>150</v>
      </c>
      <c r="F24" s="1569">
        <v>75</v>
      </c>
      <c r="G24" s="1552" t="s">
        <v>2953</v>
      </c>
      <c r="H24" s="1570">
        <v>7.1499999999999994E-2</v>
      </c>
      <c r="I24" s="1552" t="s">
        <v>1926</v>
      </c>
    </row>
    <row r="25" spans="1:9" x14ac:dyDescent="0.25">
      <c r="A25" s="1541"/>
      <c r="B25" s="1558" t="s">
        <v>92</v>
      </c>
      <c r="C25" s="1558"/>
      <c r="D25" s="1574"/>
      <c r="E25" s="1575">
        <f>SUM(E4:E24)</f>
        <v>6651</v>
      </c>
      <c r="F25" s="1576">
        <f>SUM(F4:F24)</f>
        <v>14264.031531389001</v>
      </c>
      <c r="G25" s="1577"/>
      <c r="H25" s="1577"/>
      <c r="I25" s="1577"/>
    </row>
    <row r="26" spans="1:9" x14ac:dyDescent="0.25">
      <c r="F26" s="1579"/>
    </row>
    <row r="27" spans="1:9" x14ac:dyDescent="0.25">
      <c r="E27" s="1580"/>
      <c r="F27" s="1580"/>
    </row>
    <row r="28" spans="1:9" ht="30" x14ac:dyDescent="0.25">
      <c r="D28" s="1581" t="s">
        <v>2954</v>
      </c>
      <c r="E28" s="1580"/>
      <c r="F28" s="1582">
        <f>'[15]balance sheet P&amp;L'!D302-'[15]balance sheet P&amp;L'!D296</f>
        <v>14264.031531388999</v>
      </c>
    </row>
    <row r="29" spans="1:9" x14ac:dyDescent="0.25">
      <c r="D29" s="1550" t="s">
        <v>2955</v>
      </c>
      <c r="E29" s="1580"/>
      <c r="F29" s="1583">
        <f>F25-F28</f>
        <v>0</v>
      </c>
      <c r="G29" s="1549">
        <f>+F29*10^7</f>
        <v>0</v>
      </c>
    </row>
    <row r="31" spans="1:9" x14ac:dyDescent="0.25">
      <c r="F31" s="1584">
        <v>14264.031531389001</v>
      </c>
    </row>
    <row r="32" spans="1:9" x14ac:dyDescent="0.25">
      <c r="F32" s="1585">
        <f>+F25-F31</f>
        <v>0</v>
      </c>
      <c r="G32" s="1550">
        <f>+F32*10^7</f>
        <v>0</v>
      </c>
      <c r="H32" s="1550">
        <f>+G32/10^5</f>
        <v>0</v>
      </c>
    </row>
    <row r="37" spans="6:6" x14ac:dyDescent="0.25">
      <c r="F37" s="282">
        <f>+'[15]balance sheet P&amp;L'!D302-'[15]balance sheet P&amp;L'!D296</f>
        <v>14264.031531388999</v>
      </c>
    </row>
    <row r="39" spans="6:6" x14ac:dyDescent="0.25">
      <c r="F39" s="1586">
        <f>+F25-F37</f>
        <v>0</v>
      </c>
    </row>
  </sheetData>
  <mergeCells count="4">
    <mergeCell ref="A1:I1"/>
    <mergeCell ref="D4:D15"/>
    <mergeCell ref="G4:G8"/>
    <mergeCell ref="I4:I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89"/>
  <sheetViews>
    <sheetView showGridLines="0" view="pageBreakPreview" topLeftCell="A28" zoomScale="80" zoomScaleSheetLayoutView="80" workbookViewId="0">
      <selection activeCell="E66" sqref="E66"/>
    </sheetView>
  </sheetViews>
  <sheetFormatPr defaultColWidth="9.140625" defaultRowHeight="15" x14ac:dyDescent="0.2"/>
  <cols>
    <col min="1" max="1" width="6.7109375" style="4" customWidth="1"/>
    <col min="2" max="2" width="67.28515625" style="3" customWidth="1"/>
    <col min="3" max="6" width="18.7109375" style="3" customWidth="1"/>
    <col min="7" max="7" width="14.28515625" style="4" bestFit="1" customWidth="1"/>
    <col min="8" max="16384" width="9.140625" style="3"/>
  </cols>
  <sheetData>
    <row r="1" spans="1:6" x14ac:dyDescent="0.2">
      <c r="B1" s="1643" t="s">
        <v>0</v>
      </c>
      <c r="C1" s="1643"/>
      <c r="D1" s="1643"/>
      <c r="E1" s="1643"/>
      <c r="F1" s="1643"/>
    </row>
    <row r="2" spans="1:6" x14ac:dyDescent="0.2">
      <c r="C2" s="1" t="s">
        <v>1</v>
      </c>
    </row>
    <row r="3" spans="1:6" x14ac:dyDescent="0.2">
      <c r="C3" s="2" t="s">
        <v>154</v>
      </c>
    </row>
    <row r="4" spans="1:6" x14ac:dyDescent="0.2">
      <c r="C4" s="2"/>
    </row>
    <row r="5" spans="1:6" x14ac:dyDescent="0.2">
      <c r="B5" s="22" t="s">
        <v>154</v>
      </c>
    </row>
    <row r="6" spans="1:6" x14ac:dyDescent="0.2">
      <c r="A6" s="5"/>
      <c r="B6" s="5"/>
      <c r="C6" s="5"/>
      <c r="D6" s="5"/>
      <c r="E6" s="5"/>
      <c r="F6" s="38" t="s">
        <v>61</v>
      </c>
    </row>
    <row r="7" spans="1:6" ht="28.5" x14ac:dyDescent="0.2">
      <c r="A7" s="6" t="s">
        <v>62</v>
      </c>
      <c r="B7" s="41" t="s">
        <v>155</v>
      </c>
      <c r="C7" s="1642" t="s">
        <v>65</v>
      </c>
      <c r="D7" s="1642"/>
      <c r="E7" s="1642" t="s">
        <v>66</v>
      </c>
      <c r="F7" s="1642"/>
    </row>
    <row r="8" spans="1:6" x14ac:dyDescent="0.2">
      <c r="A8" s="42" t="s">
        <v>156</v>
      </c>
      <c r="B8" s="43" t="s">
        <v>157</v>
      </c>
      <c r="C8" s="39"/>
      <c r="D8" s="39"/>
      <c r="E8" s="39"/>
      <c r="F8" s="39"/>
    </row>
    <row r="9" spans="1:6" x14ac:dyDescent="0.2">
      <c r="A9" s="42"/>
      <c r="B9" s="66" t="s">
        <v>158</v>
      </c>
      <c r="C9" s="1598">
        <f>+CFS!D7</f>
        <v>-810.82052673700082</v>
      </c>
      <c r="D9" s="1598"/>
      <c r="E9" s="1598">
        <f>+CFS!E7</f>
        <v>-1682.8841725980021</v>
      </c>
      <c r="F9" s="1598"/>
    </row>
    <row r="10" spans="1:6" x14ac:dyDescent="0.2">
      <c r="A10" s="42"/>
      <c r="B10" s="66" t="s">
        <v>159</v>
      </c>
      <c r="C10" s="1598"/>
      <c r="D10" s="1598"/>
      <c r="E10" s="1598"/>
      <c r="F10" s="1598"/>
    </row>
    <row r="11" spans="1:6" x14ac:dyDescent="0.2">
      <c r="A11" s="42" t="s">
        <v>160</v>
      </c>
      <c r="B11" s="43" t="s">
        <v>161</v>
      </c>
      <c r="C11" s="1598">
        <f>+CFS!D10</f>
        <v>2842.8386249599998</v>
      </c>
      <c r="D11" s="1598"/>
      <c r="E11" s="1598">
        <f>+CFS!E10</f>
        <v>2788.0829005650003</v>
      </c>
      <c r="F11" s="1598"/>
    </row>
    <row r="12" spans="1:6" x14ac:dyDescent="0.2">
      <c r="A12" s="42" t="s">
        <v>162</v>
      </c>
      <c r="B12" s="43" t="s">
        <v>163</v>
      </c>
      <c r="C12" s="1598">
        <f>+CFS!D19</f>
        <v>3493.1497996790008</v>
      </c>
      <c r="D12" s="1598"/>
      <c r="E12" s="1598">
        <f>+CFS!E19</f>
        <v>3523.5377632460004</v>
      </c>
      <c r="F12" s="1598"/>
    </row>
    <row r="13" spans="1:6" x14ac:dyDescent="0.2">
      <c r="A13" s="42" t="s">
        <v>164</v>
      </c>
      <c r="B13" s="43" t="s">
        <v>165</v>
      </c>
      <c r="C13" s="1598">
        <f>+CFS!D20</f>
        <v>5.5115138110000004</v>
      </c>
      <c r="D13" s="1598"/>
      <c r="E13" s="1598">
        <f>+CFS!E20</f>
        <v>1.337666536</v>
      </c>
      <c r="F13" s="1598"/>
    </row>
    <row r="14" spans="1:6" x14ac:dyDescent="0.2">
      <c r="A14" s="42" t="s">
        <v>166</v>
      </c>
      <c r="B14" s="43" t="s">
        <v>167</v>
      </c>
      <c r="C14" s="1598">
        <f>+CFS!D21</f>
        <v>10.746824050000001</v>
      </c>
      <c r="D14" s="1598"/>
      <c r="E14" s="1598">
        <f>+CFS!E21</f>
        <v>106.753225925</v>
      </c>
      <c r="F14" s="1598"/>
    </row>
    <row r="15" spans="1:6" x14ac:dyDescent="0.2">
      <c r="A15" s="42" t="s">
        <v>168</v>
      </c>
      <c r="B15" s="43" t="s">
        <v>169</v>
      </c>
      <c r="C15" s="1598">
        <f>+CFS!D22</f>
        <v>0</v>
      </c>
      <c r="D15" s="1598"/>
      <c r="E15" s="1598">
        <f>+CFS!E22</f>
        <v>0</v>
      </c>
      <c r="F15" s="1598"/>
    </row>
    <row r="16" spans="1:6" x14ac:dyDescent="0.2">
      <c r="A16" s="42" t="s">
        <v>170</v>
      </c>
      <c r="B16" s="43" t="s">
        <v>171</v>
      </c>
      <c r="C16" s="1598">
        <f>+CFS!D23</f>
        <v>-0.22902478000000004</v>
      </c>
      <c r="D16" s="1598"/>
      <c r="E16" s="1598">
        <f>+CFS!E23</f>
        <v>-0.16887729600000001</v>
      </c>
      <c r="F16" s="1598"/>
    </row>
    <row r="17" spans="1:6" x14ac:dyDescent="0.2">
      <c r="A17" s="42" t="s">
        <v>172</v>
      </c>
      <c r="B17" s="43" t="s">
        <v>173</v>
      </c>
      <c r="C17" s="1598">
        <f>+CFS!D24</f>
        <v>16.286792219000006</v>
      </c>
      <c r="D17" s="1598"/>
      <c r="E17" s="1598">
        <f>+CFS!E24</f>
        <v>54.44408564500003</v>
      </c>
      <c r="F17" s="1598"/>
    </row>
    <row r="18" spans="1:6" x14ac:dyDescent="0.2">
      <c r="A18" s="42" t="s">
        <v>174</v>
      </c>
      <c r="B18" s="43" t="s">
        <v>175</v>
      </c>
      <c r="C18" s="1598">
        <v>0</v>
      </c>
      <c r="D18" s="1598"/>
      <c r="E18" s="1598">
        <v>0</v>
      </c>
      <c r="F18" s="1598"/>
    </row>
    <row r="19" spans="1:6" x14ac:dyDescent="0.2">
      <c r="A19" s="10"/>
      <c r="B19" s="3" t="s">
        <v>176</v>
      </c>
      <c r="C19" s="1598"/>
      <c r="D19" s="1598"/>
      <c r="E19" s="1598"/>
      <c r="F19" s="1598"/>
    </row>
    <row r="20" spans="1:6" x14ac:dyDescent="0.2">
      <c r="A20" s="11"/>
      <c r="B20" s="44" t="s">
        <v>176</v>
      </c>
      <c r="C20" s="1598"/>
      <c r="D20" s="1598"/>
      <c r="E20" s="1598"/>
      <c r="F20" s="1598"/>
    </row>
    <row r="21" spans="1:6" x14ac:dyDescent="0.2">
      <c r="A21" s="11"/>
      <c r="B21" s="40" t="s">
        <v>177</v>
      </c>
      <c r="C21" s="1598"/>
      <c r="D21" s="1598"/>
      <c r="E21" s="1598"/>
      <c r="F21" s="1598"/>
    </row>
    <row r="22" spans="1:6" x14ac:dyDescent="0.2">
      <c r="A22" s="11"/>
      <c r="B22" s="40" t="s">
        <v>178</v>
      </c>
      <c r="C22" s="1598"/>
      <c r="D22" s="1598"/>
      <c r="E22" s="1598"/>
      <c r="F22" s="1598"/>
    </row>
    <row r="23" spans="1:6" x14ac:dyDescent="0.2">
      <c r="A23" s="11"/>
      <c r="B23" s="40" t="s">
        <v>179</v>
      </c>
      <c r="C23" s="1598"/>
      <c r="D23" s="1598"/>
      <c r="E23" s="1598"/>
      <c r="F23" s="1598"/>
    </row>
    <row r="24" spans="1:6" x14ac:dyDescent="0.2">
      <c r="A24" s="11" t="s">
        <v>160</v>
      </c>
      <c r="B24" s="44" t="s">
        <v>180</v>
      </c>
      <c r="C24" s="1598">
        <f>+CFS!D30</f>
        <v>-875.30820225700063</v>
      </c>
      <c r="D24" s="1598"/>
      <c r="E24" s="1598">
        <f>+CFS!E30</f>
        <v>-380.11987649899964</v>
      </c>
      <c r="F24" s="1598"/>
    </row>
    <row r="25" spans="1:6" x14ac:dyDescent="0.2">
      <c r="A25" s="11" t="s">
        <v>162</v>
      </c>
      <c r="B25" s="44" t="s">
        <v>181</v>
      </c>
      <c r="C25" s="1598">
        <f>+CFS!D28</f>
        <v>-3120.8703763300018</v>
      </c>
      <c r="D25" s="1598"/>
      <c r="E25" s="1598">
        <f>+CFS!E28</f>
        <v>-1339.2993059929975</v>
      </c>
      <c r="F25" s="1598"/>
    </row>
    <row r="26" spans="1:6" x14ac:dyDescent="0.2">
      <c r="A26" s="11" t="s">
        <v>164</v>
      </c>
      <c r="B26" s="44" t="s">
        <v>182</v>
      </c>
      <c r="C26" s="1598">
        <f>+CFS!D29</f>
        <v>-197.95821027899791</v>
      </c>
      <c r="D26" s="1598"/>
      <c r="E26" s="1598">
        <f>+CFS!E29</f>
        <v>-85.623824101000409</v>
      </c>
      <c r="F26" s="1598"/>
    </row>
    <row r="27" spans="1:6" x14ac:dyDescent="0.2">
      <c r="A27" s="11" t="s">
        <v>168</v>
      </c>
      <c r="B27" s="44" t="s">
        <v>183</v>
      </c>
      <c r="C27" s="1598"/>
      <c r="D27" s="1598"/>
      <c r="E27" s="1598"/>
      <c r="F27" s="1598"/>
    </row>
    <row r="28" spans="1:6" x14ac:dyDescent="0.2">
      <c r="A28" s="11" t="s">
        <v>170</v>
      </c>
      <c r="B28" s="44" t="s">
        <v>184</v>
      </c>
      <c r="C28" s="1598"/>
      <c r="D28" s="1598"/>
      <c r="E28" s="1598"/>
      <c r="F28" s="1598"/>
    </row>
    <row r="29" spans="1:6" x14ac:dyDescent="0.2">
      <c r="A29" s="11"/>
      <c r="B29" s="44" t="s">
        <v>176</v>
      </c>
      <c r="C29" s="1598"/>
      <c r="D29" s="1598"/>
      <c r="E29" s="1598"/>
      <c r="F29" s="1598"/>
    </row>
    <row r="30" spans="1:6" x14ac:dyDescent="0.2">
      <c r="A30" s="11"/>
      <c r="B30" s="44" t="s">
        <v>176</v>
      </c>
      <c r="C30" s="1598"/>
      <c r="D30" s="1598"/>
      <c r="E30" s="1598"/>
      <c r="F30" s="1598"/>
    </row>
    <row r="31" spans="1:6" x14ac:dyDescent="0.2">
      <c r="A31" s="11"/>
      <c r="B31" s="40" t="s">
        <v>185</v>
      </c>
      <c r="C31" s="1598"/>
      <c r="D31" s="1598"/>
      <c r="E31" s="1598"/>
      <c r="F31" s="1598"/>
    </row>
    <row r="32" spans="1:6" x14ac:dyDescent="0.2">
      <c r="A32" s="11" t="s">
        <v>160</v>
      </c>
      <c r="B32" s="44" t="s">
        <v>186</v>
      </c>
      <c r="C32" s="1598">
        <f>+CFS!D31</f>
        <v>1670.3599325849998</v>
      </c>
      <c r="D32" s="1598"/>
      <c r="E32" s="1598">
        <f>+CFS!E31</f>
        <v>-286.2406574620004</v>
      </c>
      <c r="F32" s="1598"/>
    </row>
    <row r="33" spans="1:6" x14ac:dyDescent="0.2">
      <c r="A33" s="11" t="s">
        <v>162</v>
      </c>
      <c r="B33" s="44" t="s">
        <v>187</v>
      </c>
      <c r="C33" s="1598"/>
      <c r="D33" s="1598"/>
      <c r="E33" s="1598"/>
      <c r="F33" s="1598"/>
    </row>
    <row r="34" spans="1:6" x14ac:dyDescent="0.2">
      <c r="A34" s="11"/>
      <c r="B34" s="44" t="s">
        <v>176</v>
      </c>
      <c r="C34" s="1598"/>
      <c r="D34" s="1598"/>
      <c r="E34" s="1598"/>
      <c r="F34" s="1598"/>
    </row>
    <row r="35" spans="1:6" x14ac:dyDescent="0.2">
      <c r="A35" s="11"/>
      <c r="B35" s="44" t="s">
        <v>176</v>
      </c>
      <c r="C35" s="1598"/>
      <c r="D35" s="1598"/>
      <c r="E35" s="1598"/>
      <c r="F35" s="1598"/>
    </row>
    <row r="36" spans="1:6" x14ac:dyDescent="0.2">
      <c r="A36" s="11"/>
      <c r="B36" s="40" t="s">
        <v>188</v>
      </c>
      <c r="C36" s="1598"/>
      <c r="D36" s="1598"/>
      <c r="E36" s="1598"/>
      <c r="F36" s="1598"/>
    </row>
    <row r="37" spans="1:6" x14ac:dyDescent="0.2">
      <c r="A37" s="11"/>
      <c r="B37" s="40" t="s">
        <v>189</v>
      </c>
      <c r="C37" s="1634">
        <f>SUM(C9:C34)</f>
        <v>3033.7071469209995</v>
      </c>
      <c r="D37" s="1634"/>
      <c r="E37" s="1634">
        <f>SUM(E9:E34)</f>
        <v>2699.8189279680014</v>
      </c>
      <c r="F37" s="1598"/>
    </row>
    <row r="38" spans="1:6" x14ac:dyDescent="0.2">
      <c r="A38" s="11"/>
      <c r="B38" s="44" t="s">
        <v>190</v>
      </c>
      <c r="C38" s="1598"/>
      <c r="D38" s="1598"/>
      <c r="E38" s="1598"/>
      <c r="F38" s="1598"/>
    </row>
    <row r="39" spans="1:6" x14ac:dyDescent="0.2">
      <c r="A39" s="11"/>
      <c r="B39" s="40" t="s">
        <v>191</v>
      </c>
      <c r="C39" s="1598"/>
      <c r="D39" s="1598"/>
      <c r="E39" s="1598"/>
      <c r="F39" s="1598"/>
    </row>
    <row r="40" spans="1:6" x14ac:dyDescent="0.2">
      <c r="A40" s="11" t="s">
        <v>192</v>
      </c>
      <c r="B40" s="10" t="s">
        <v>193</v>
      </c>
      <c r="C40" s="1598"/>
      <c r="D40" s="1634"/>
      <c r="E40" s="1598"/>
      <c r="F40" s="1634"/>
    </row>
    <row r="41" spans="1:6" x14ac:dyDescent="0.2">
      <c r="A41" s="16" t="s">
        <v>160</v>
      </c>
      <c r="B41" s="10" t="s">
        <v>194</v>
      </c>
      <c r="C41" s="1598">
        <f>+CFS!D40+CFS!D41</f>
        <v>-2142.3806306670067</v>
      </c>
      <c r="D41" s="1598"/>
      <c r="E41" s="1598">
        <f>+CFS!E40+CFS!E41</f>
        <v>-2230.5277892509894</v>
      </c>
      <c r="F41" s="1598"/>
    </row>
    <row r="42" spans="1:6" x14ac:dyDescent="0.2">
      <c r="A42" s="16" t="s">
        <v>162</v>
      </c>
      <c r="B42" s="1635" t="s">
        <v>195</v>
      </c>
      <c r="C42" s="1598">
        <f>+CFS!D43</f>
        <v>-9.9326900000008322E-2</v>
      </c>
      <c r="D42" s="1598"/>
      <c r="E42" s="1598">
        <f>+CFS!E43</f>
        <v>-0.18364489999999734</v>
      </c>
      <c r="F42" s="1598"/>
    </row>
    <row r="43" spans="1:6" x14ac:dyDescent="0.2">
      <c r="A43" s="16" t="s">
        <v>164</v>
      </c>
      <c r="B43" s="1636" t="s">
        <v>196</v>
      </c>
      <c r="C43" s="1598">
        <f>+CFS!D46</f>
        <v>0.22902478000000004</v>
      </c>
      <c r="D43" s="1598"/>
      <c r="E43" s="1598">
        <f>+CFS!E46</f>
        <v>0.16887729600000001</v>
      </c>
      <c r="F43" s="1598"/>
    </row>
    <row r="44" spans="1:6" x14ac:dyDescent="0.2">
      <c r="A44" s="16"/>
      <c r="B44" s="1636"/>
      <c r="C44" s="1598"/>
      <c r="D44" s="1598"/>
      <c r="E44" s="1598"/>
      <c r="F44" s="1598"/>
    </row>
    <row r="45" spans="1:6" x14ac:dyDescent="0.2">
      <c r="A45" s="11"/>
      <c r="B45" s="9" t="s">
        <v>197</v>
      </c>
      <c r="C45" s="1634">
        <f>SUM(C41:C44)</f>
        <v>-2142.2509327870066</v>
      </c>
      <c r="D45" s="1634"/>
      <c r="E45" s="1634">
        <f>SUM(E41:E44)</f>
        <v>-2230.5425568549895</v>
      </c>
      <c r="F45" s="1634"/>
    </row>
    <row r="46" spans="1:6" x14ac:dyDescent="0.2">
      <c r="A46" s="11" t="s">
        <v>198</v>
      </c>
      <c r="B46" s="10" t="s">
        <v>199</v>
      </c>
      <c r="C46" s="1598"/>
      <c r="D46" s="1598"/>
      <c r="E46" s="1598"/>
      <c r="F46" s="1598"/>
    </row>
    <row r="47" spans="1:6" x14ac:dyDescent="0.2">
      <c r="A47" s="11" t="s">
        <v>160</v>
      </c>
      <c r="B47" s="10" t="s">
        <v>200</v>
      </c>
      <c r="C47" s="1598">
        <f>+CFS!D53</f>
        <v>91.141003426003522</v>
      </c>
      <c r="D47" s="1598"/>
      <c r="E47" s="1598">
        <f>+CFS!E53</f>
        <v>468.05000845200993</v>
      </c>
      <c r="F47" s="1598"/>
    </row>
    <row r="48" spans="1:6" x14ac:dyDescent="0.2">
      <c r="A48" s="11" t="s">
        <v>162</v>
      </c>
      <c r="B48" s="10" t="s">
        <v>201</v>
      </c>
      <c r="C48" s="1598">
        <f>+CFS!D51+CFS!D52</f>
        <v>1898.1449605969501</v>
      </c>
      <c r="D48" s="1598"/>
      <c r="E48" s="1598">
        <f>+CFS!E51+CFS!E52</f>
        <v>-652.73692173599966</v>
      </c>
      <c r="F48" s="1598"/>
    </row>
    <row r="49" spans="1:6" x14ac:dyDescent="0.2">
      <c r="A49" s="11" t="s">
        <v>164</v>
      </c>
      <c r="B49" s="10" t="s">
        <v>202</v>
      </c>
      <c r="C49" s="1598">
        <f>+CFS!D57</f>
        <v>-492.57211519999993</v>
      </c>
      <c r="D49" s="1598"/>
      <c r="E49" s="1598">
        <f>+CFS!E57</f>
        <v>-513.58211519999998</v>
      </c>
      <c r="F49" s="1598"/>
    </row>
    <row r="50" spans="1:6" x14ac:dyDescent="0.2">
      <c r="A50" s="11" t="s">
        <v>166</v>
      </c>
      <c r="B50" s="10" t="s">
        <v>203</v>
      </c>
      <c r="C50" s="1598">
        <f>+CFS!D54</f>
        <v>1151.3683897969991</v>
      </c>
      <c r="D50" s="1598"/>
      <c r="E50" s="1598">
        <f>+CFS!E54</f>
        <v>3245.9764129170012</v>
      </c>
      <c r="F50" s="1598"/>
    </row>
    <row r="51" spans="1:6" x14ac:dyDescent="0.2">
      <c r="A51" s="11" t="s">
        <v>168</v>
      </c>
      <c r="B51" s="10" t="s">
        <v>204</v>
      </c>
      <c r="C51" s="1598">
        <f>+CFS!D56</f>
        <v>-3097.5762837300008</v>
      </c>
      <c r="D51" s="1598"/>
      <c r="E51" s="1598">
        <f>+CFS!E56</f>
        <v>-2998.4163714170004</v>
      </c>
      <c r="F51" s="1598"/>
    </row>
    <row r="52" spans="1:6" x14ac:dyDescent="0.2">
      <c r="A52" s="11" t="s">
        <v>170</v>
      </c>
      <c r="B52" s="10" t="s">
        <v>205</v>
      </c>
      <c r="C52" s="1598">
        <f>+CFS!D55</f>
        <v>409.99323279999999</v>
      </c>
      <c r="D52" s="1598"/>
      <c r="E52" s="1598">
        <f>+CFS!E55</f>
        <v>0</v>
      </c>
      <c r="F52" s="1598"/>
    </row>
    <row r="53" spans="1:6" x14ac:dyDescent="0.2">
      <c r="A53" s="16"/>
      <c r="B53" s="10" t="s">
        <v>176</v>
      </c>
      <c r="C53" s="1598"/>
      <c r="D53" s="1598"/>
      <c r="E53" s="1598"/>
      <c r="F53" s="1598"/>
    </row>
    <row r="54" spans="1:6" x14ac:dyDescent="0.2">
      <c r="A54" s="16"/>
      <c r="B54" s="137" t="s">
        <v>206</v>
      </c>
      <c r="C54" s="1634">
        <f>SUM(C47:C53)</f>
        <v>-39.500812310048332</v>
      </c>
      <c r="D54" s="1634"/>
      <c r="E54" s="1634">
        <f>SUM(E47:E53)</f>
        <v>-450.70898698398878</v>
      </c>
      <c r="F54" s="1598"/>
    </row>
    <row r="55" spans="1:6" x14ac:dyDescent="0.2">
      <c r="A55" s="45" t="s">
        <v>207</v>
      </c>
      <c r="B55" s="40" t="s">
        <v>208</v>
      </c>
      <c r="C55" s="1634">
        <f>+C54+C45+C37</f>
        <v>851.95540182394461</v>
      </c>
      <c r="D55" s="1634"/>
      <c r="E55" s="1634">
        <f>+E54+E45+E37</f>
        <v>18.567384129023139</v>
      </c>
      <c r="F55" s="1634"/>
    </row>
    <row r="56" spans="1:6" x14ac:dyDescent="0.2">
      <c r="A56" s="11" t="s">
        <v>209</v>
      </c>
      <c r="B56" s="40" t="s">
        <v>210</v>
      </c>
      <c r="C56" s="1598">
        <f>+E57</f>
        <v>20.534823032023144</v>
      </c>
      <c r="D56" s="1634"/>
      <c r="E56" s="1598">
        <f>+CFS!E61</f>
        <v>1.9674389030000061</v>
      </c>
      <c r="F56" s="1634"/>
    </row>
    <row r="57" spans="1:6" x14ac:dyDescent="0.2">
      <c r="A57" s="11" t="s">
        <v>211</v>
      </c>
      <c r="B57" s="40" t="s">
        <v>212</v>
      </c>
      <c r="C57" s="1634">
        <f>+C55+C56</f>
        <v>872.49022485596777</v>
      </c>
      <c r="D57" s="1634"/>
      <c r="E57" s="1634">
        <f>+E55+E56</f>
        <v>20.534823032023144</v>
      </c>
      <c r="F57" s="1634"/>
    </row>
    <row r="58" spans="1:6" ht="15.75" x14ac:dyDescent="0.2">
      <c r="A58" s="11"/>
      <c r="B58" s="1639" t="s">
        <v>213</v>
      </c>
      <c r="C58" s="1598"/>
      <c r="D58" s="1634"/>
      <c r="E58" s="1634"/>
      <c r="F58" s="1634"/>
    </row>
    <row r="59" spans="1:6" ht="15.75" x14ac:dyDescent="0.2">
      <c r="A59" s="11"/>
      <c r="B59" s="1639" t="s">
        <v>214</v>
      </c>
      <c r="C59" s="1598"/>
      <c r="D59" s="1634"/>
      <c r="E59" s="1634"/>
      <c r="F59" s="1634"/>
    </row>
    <row r="60" spans="1:6" x14ac:dyDescent="0.2">
      <c r="A60" s="11"/>
      <c r="B60" s="1636" t="s">
        <v>215</v>
      </c>
      <c r="C60" s="1598"/>
      <c r="D60" s="1634"/>
      <c r="E60" s="1634"/>
      <c r="F60" s="1634"/>
    </row>
    <row r="61" spans="1:6" x14ac:dyDescent="0.2">
      <c r="A61" s="11"/>
      <c r="B61" s="1636" t="s">
        <v>216</v>
      </c>
      <c r="C61" s="1598">
        <f>+CFS!D71</f>
        <v>263.66342570199998</v>
      </c>
      <c r="D61" s="1634"/>
      <c r="E61" s="1598">
        <f>+CFS!E71</f>
        <v>11.769918049000003</v>
      </c>
      <c r="F61" s="1634"/>
    </row>
    <row r="62" spans="1:6" x14ac:dyDescent="0.2">
      <c r="A62" s="11"/>
      <c r="B62" s="1636" t="s">
        <v>217</v>
      </c>
      <c r="C62" s="1598"/>
      <c r="D62" s="1634"/>
      <c r="E62" s="1598"/>
      <c r="F62" s="1634"/>
    </row>
    <row r="63" spans="1:6" x14ac:dyDescent="0.2">
      <c r="A63" s="11"/>
      <c r="B63" s="1636" t="s">
        <v>218</v>
      </c>
      <c r="C63" s="1598">
        <f>+CFS!D73</f>
        <v>608.81214132600007</v>
      </c>
      <c r="D63" s="1634"/>
      <c r="E63" s="1598">
        <f>+CFS!E73</f>
        <v>8.7475588730000062</v>
      </c>
      <c r="F63" s="1634"/>
    </row>
    <row r="64" spans="1:6" x14ac:dyDescent="0.2">
      <c r="A64" s="11"/>
      <c r="B64" s="1636" t="s">
        <v>219</v>
      </c>
      <c r="C64" s="1598">
        <f>+CFS!D74</f>
        <v>1.4654745E-2</v>
      </c>
      <c r="D64" s="1634"/>
      <c r="E64" s="1598">
        <f>+CFS!E74</f>
        <v>1.7346445000000002E-2</v>
      </c>
      <c r="F64" s="1634"/>
    </row>
    <row r="65" spans="1:7" ht="15.75" x14ac:dyDescent="0.2">
      <c r="A65" s="11"/>
      <c r="B65" s="1639"/>
      <c r="C65" s="1598"/>
      <c r="D65" s="1634"/>
      <c r="E65" s="1634"/>
      <c r="F65" s="1634"/>
    </row>
    <row r="66" spans="1:7" ht="15.75" x14ac:dyDescent="0.2">
      <c r="A66" s="11"/>
      <c r="B66" s="1639" t="s">
        <v>212</v>
      </c>
      <c r="C66" s="1634">
        <f>SUM(C61:C64)</f>
        <v>872.49022177300014</v>
      </c>
      <c r="D66" s="1634"/>
      <c r="E66" s="1634">
        <f>SUM(E61:E64)</f>
        <v>20.534823367000008</v>
      </c>
      <c r="F66" s="1634"/>
    </row>
    <row r="67" spans="1:7" x14ac:dyDescent="0.2">
      <c r="B67" s="7"/>
      <c r="C67" s="1637"/>
      <c r="D67" s="1638"/>
      <c r="E67" s="1638"/>
      <c r="F67" s="1638"/>
    </row>
    <row r="68" spans="1:7" x14ac:dyDescent="0.2">
      <c r="B68" s="7"/>
      <c r="C68" s="1637"/>
      <c r="D68" s="1638"/>
      <c r="E68" s="1638"/>
      <c r="F68" s="1638"/>
    </row>
    <row r="69" spans="1:7" x14ac:dyDescent="0.2">
      <c r="B69" s="7"/>
      <c r="C69" s="1637"/>
      <c r="D69" s="1638"/>
      <c r="E69" s="1638"/>
      <c r="F69" s="1638"/>
    </row>
    <row r="70" spans="1:7" x14ac:dyDescent="0.2">
      <c r="A70" s="3"/>
    </row>
    <row r="71" spans="1:7" x14ac:dyDescent="0.2">
      <c r="A71" s="4" t="s">
        <v>220</v>
      </c>
      <c r="B71" s="3" t="s">
        <v>153</v>
      </c>
    </row>
    <row r="76" spans="1:7" s="22" customFormat="1" x14ac:dyDescent="0.2">
      <c r="A76" s="4"/>
      <c r="B76" s="3"/>
      <c r="C76" s="3"/>
      <c r="D76" s="3"/>
      <c r="E76" s="3"/>
      <c r="F76" s="3"/>
    </row>
    <row r="77" spans="1:7" s="22" customFormat="1" x14ac:dyDescent="0.2">
      <c r="A77" s="4"/>
      <c r="B77" s="3"/>
      <c r="C77" s="3"/>
      <c r="D77" s="3"/>
      <c r="E77" s="3"/>
      <c r="F77" s="3"/>
      <c r="G77" s="18"/>
    </row>
    <row r="78" spans="1:7" s="22" customFormat="1" x14ac:dyDescent="0.2">
      <c r="A78" s="4"/>
      <c r="B78" s="3"/>
      <c r="C78" s="3"/>
      <c r="D78" s="3"/>
      <c r="E78" s="3"/>
      <c r="F78" s="3"/>
      <c r="G78" s="18"/>
    </row>
    <row r="89" spans="7:7" x14ac:dyDescent="0.2">
      <c r="G89" s="5"/>
    </row>
  </sheetData>
  <mergeCells count="3">
    <mergeCell ref="C7:D7"/>
    <mergeCell ref="E7:F7"/>
    <mergeCell ref="B1:F1"/>
  </mergeCells>
  <printOptions horizontalCentered="1"/>
  <pageMargins left="0.78740157480314965" right="0.39370078740157483" top="0.78740157480314965" bottom="0.19685039370078741" header="0.31496062992125984" footer="0.31496062992125984"/>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E17"/>
  <sheetViews>
    <sheetView showGridLines="0" view="pageBreakPreview" zoomScale="80" zoomScaleSheetLayoutView="80" workbookViewId="0">
      <selection activeCell="D13" sqref="D13"/>
    </sheetView>
  </sheetViews>
  <sheetFormatPr defaultColWidth="9.140625" defaultRowHeight="15" x14ac:dyDescent="0.2"/>
  <cols>
    <col min="1" max="1" width="5.140625" style="3" customWidth="1"/>
    <col min="2" max="2" width="43.7109375" style="3" customWidth="1"/>
    <col min="3" max="3" width="17.42578125" style="3" customWidth="1"/>
    <col min="4" max="4" width="24.5703125" style="3" customWidth="1"/>
    <col min="5" max="5" width="23.7109375" style="3" customWidth="1"/>
    <col min="6" max="6" width="15.140625" style="3" bestFit="1" customWidth="1"/>
    <col min="7" max="16384" width="9.140625" style="3"/>
  </cols>
  <sheetData>
    <row r="1" spans="1:5" x14ac:dyDescent="0.2">
      <c r="A1" s="1643" t="s">
        <v>0</v>
      </c>
      <c r="B1" s="1643"/>
      <c r="C1" s="1643"/>
      <c r="D1" s="1643"/>
      <c r="E1" s="1643"/>
    </row>
    <row r="2" spans="1:5" x14ac:dyDescent="0.2">
      <c r="C2" s="1" t="s">
        <v>1</v>
      </c>
    </row>
    <row r="5" spans="1:5" x14ac:dyDescent="0.2">
      <c r="A5" s="22" t="s">
        <v>221</v>
      </c>
      <c r="B5" s="22"/>
      <c r="C5" s="22"/>
      <c r="D5" s="22"/>
    </row>
    <row r="6" spans="1:5" x14ac:dyDescent="0.2">
      <c r="A6" s="22"/>
      <c r="B6" s="22"/>
      <c r="C6" s="22"/>
      <c r="D6" s="22"/>
    </row>
    <row r="7" spans="1:5" ht="42.75" x14ac:dyDescent="0.2">
      <c r="A7" s="1642" t="s">
        <v>62</v>
      </c>
      <c r="B7" s="1653" t="s">
        <v>63</v>
      </c>
      <c r="C7" s="1642" t="s">
        <v>222</v>
      </c>
      <c r="D7" s="6" t="s">
        <v>65</v>
      </c>
      <c r="E7" s="6" t="s">
        <v>66</v>
      </c>
    </row>
    <row r="8" spans="1:5" x14ac:dyDescent="0.2">
      <c r="A8" s="1642"/>
      <c r="B8" s="1653"/>
      <c r="C8" s="1642"/>
      <c r="D8" s="6" t="s">
        <v>223</v>
      </c>
      <c r="E8" s="6" t="s">
        <v>223</v>
      </c>
    </row>
    <row r="9" spans="1:5" x14ac:dyDescent="0.2">
      <c r="A9" s="8" t="s">
        <v>70</v>
      </c>
      <c r="B9" s="9" t="s">
        <v>224</v>
      </c>
      <c r="C9" s="10"/>
      <c r="D9" s="16">
        <f>+'Share Capital'!D7</f>
        <v>40000</v>
      </c>
      <c r="E9" s="16">
        <f>+'Share Capital'!F7</f>
        <v>40000</v>
      </c>
    </row>
    <row r="10" spans="1:5" x14ac:dyDescent="0.25">
      <c r="A10" s="9"/>
      <c r="B10" s="44"/>
      <c r="C10" s="9"/>
      <c r="D10" s="46"/>
      <c r="E10" s="46"/>
    </row>
    <row r="11" spans="1:5" x14ac:dyDescent="0.2">
      <c r="A11" s="9"/>
      <c r="B11" s="66" t="s">
        <v>92</v>
      </c>
      <c r="C11" s="9"/>
      <c r="D11" s="134">
        <f>+D9</f>
        <v>40000</v>
      </c>
      <c r="E11" s="134">
        <f>+E9</f>
        <v>40000</v>
      </c>
    </row>
    <row r="12" spans="1:5" x14ac:dyDescent="0.25">
      <c r="A12" s="9"/>
      <c r="B12" s="9"/>
      <c r="C12" s="9"/>
      <c r="D12" s="21"/>
      <c r="E12" s="46"/>
    </row>
    <row r="13" spans="1:5" x14ac:dyDescent="0.25">
      <c r="A13" s="8" t="s">
        <v>71</v>
      </c>
      <c r="B13" s="9" t="s">
        <v>225</v>
      </c>
      <c r="C13" s="47"/>
      <c r="D13" s="16">
        <f>+'Share Capital'!D13</f>
        <v>25918.496225999996</v>
      </c>
      <c r="E13" s="46">
        <f>+'Share Capital'!F13</f>
        <v>25450.446225999996</v>
      </c>
    </row>
    <row r="14" spans="1:5" x14ac:dyDescent="0.25">
      <c r="A14" s="16"/>
      <c r="B14" s="44"/>
      <c r="C14" s="47"/>
      <c r="D14" s="46"/>
      <c r="E14" s="46"/>
    </row>
    <row r="15" spans="1:5" x14ac:dyDescent="0.2">
      <c r="A15" s="10"/>
      <c r="B15" s="66" t="s">
        <v>92</v>
      </c>
      <c r="C15" s="48"/>
      <c r="D15" s="134">
        <f>+D13</f>
        <v>25918.496225999996</v>
      </c>
      <c r="E15" s="134">
        <f>+E13</f>
        <v>25450.446225999996</v>
      </c>
    </row>
    <row r="17" spans="1:2" x14ac:dyDescent="0.2">
      <c r="A17" s="22" t="s">
        <v>226</v>
      </c>
      <c r="B17" s="3" t="s">
        <v>153</v>
      </c>
    </row>
  </sheetData>
  <mergeCells count="4">
    <mergeCell ref="A7:A8"/>
    <mergeCell ref="B7:B8"/>
    <mergeCell ref="C7:C8"/>
    <mergeCell ref="A1:E1"/>
  </mergeCells>
  <phoneticPr fontId="0" type="noConversion"/>
  <printOptions horizontalCentered="1"/>
  <pageMargins left="0.78740157480314965" right="0.39370078740157483" top="0.78740157480314965" bottom="0.19685039370078741"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7"/>
  <sheetViews>
    <sheetView showGridLines="0" view="pageBreakPreview" zoomScale="80" zoomScaleSheetLayoutView="80" workbookViewId="0">
      <selection activeCell="D35" sqref="D35"/>
    </sheetView>
  </sheetViews>
  <sheetFormatPr defaultColWidth="9.140625" defaultRowHeight="15" x14ac:dyDescent="0.2"/>
  <cols>
    <col min="1" max="1" width="7.42578125" style="22" customWidth="1"/>
    <col min="2" max="2" width="57.28515625" style="3" bestFit="1" customWidth="1"/>
    <col min="3" max="3" width="10.42578125" style="22" bestFit="1" customWidth="1"/>
    <col min="4" max="4" width="23.140625" style="3" customWidth="1"/>
    <col min="5" max="5" width="28" style="3" customWidth="1"/>
    <col min="6" max="6" width="16" style="3" bestFit="1" customWidth="1"/>
    <col min="7" max="7" width="11.140625" style="3" bestFit="1" customWidth="1"/>
    <col min="8" max="9" width="9.140625" style="3"/>
    <col min="10" max="10" width="27.140625" style="3" bestFit="1" customWidth="1"/>
    <col min="11" max="16384" width="9.140625" style="3"/>
  </cols>
  <sheetData>
    <row r="1" spans="1:10" x14ac:dyDescent="0.2">
      <c r="A1" s="5"/>
      <c r="B1" s="5"/>
      <c r="C1" s="5"/>
      <c r="D1" s="5"/>
      <c r="E1" s="5"/>
    </row>
    <row r="2" spans="1:10" x14ac:dyDescent="0.2">
      <c r="A2" s="1643" t="s">
        <v>0</v>
      </c>
      <c r="B2" s="1643"/>
      <c r="C2" s="1643"/>
      <c r="D2" s="1643"/>
      <c r="E2" s="1643"/>
    </row>
    <row r="3" spans="1:10" x14ac:dyDescent="0.2">
      <c r="A3" s="5"/>
      <c r="B3" s="1643" t="s">
        <v>1</v>
      </c>
      <c r="C3" s="1643"/>
      <c r="D3" s="1643"/>
      <c r="E3" s="5"/>
    </row>
    <row r="4" spans="1:10" x14ac:dyDescent="0.2">
      <c r="A4" s="5"/>
      <c r="B4" s="5"/>
      <c r="C4" s="5"/>
      <c r="D4" s="5"/>
      <c r="E4" s="5"/>
    </row>
    <row r="5" spans="1:10" x14ac:dyDescent="0.2">
      <c r="A5" s="1640" t="s">
        <v>227</v>
      </c>
      <c r="B5" s="1640"/>
      <c r="C5" s="1640"/>
      <c r="D5" s="1640"/>
      <c r="E5" s="1640"/>
    </row>
    <row r="6" spans="1:10" x14ac:dyDescent="0.2">
      <c r="A6" s="49"/>
      <c r="B6" s="49"/>
      <c r="C6" s="49"/>
      <c r="D6" s="49"/>
      <c r="E6" s="49"/>
    </row>
    <row r="7" spans="1:10" ht="42.75" x14ac:dyDescent="0.2">
      <c r="A7" s="1642" t="s">
        <v>62</v>
      </c>
      <c r="B7" s="1642" t="s">
        <v>63</v>
      </c>
      <c r="C7" s="1642" t="s">
        <v>222</v>
      </c>
      <c r="D7" s="6" t="s">
        <v>65</v>
      </c>
      <c r="E7" s="53" t="s">
        <v>66</v>
      </c>
    </row>
    <row r="8" spans="1:10" x14ac:dyDescent="0.2">
      <c r="A8" s="1642"/>
      <c r="B8" s="1642"/>
      <c r="C8" s="1642"/>
      <c r="D8" s="41" t="s">
        <v>223</v>
      </c>
      <c r="E8" s="41" t="s">
        <v>223</v>
      </c>
    </row>
    <row r="9" spans="1:10" s="22" customFormat="1" ht="14.25" x14ac:dyDescent="0.2">
      <c r="A9" s="8">
        <v>1</v>
      </c>
      <c r="B9" s="40" t="s">
        <v>228</v>
      </c>
      <c r="C9" s="54"/>
      <c r="D9" s="55"/>
      <c r="E9" s="55"/>
    </row>
    <row r="10" spans="1:10" x14ac:dyDescent="0.25">
      <c r="A10" s="11"/>
      <c r="B10" s="44" t="s">
        <v>229</v>
      </c>
      <c r="C10" s="47"/>
      <c r="D10" s="56"/>
      <c r="E10" s="56"/>
    </row>
    <row r="11" spans="1:10" x14ac:dyDescent="0.25">
      <c r="A11" s="11"/>
      <c r="B11" s="44" t="s">
        <v>230</v>
      </c>
      <c r="C11" s="47"/>
      <c r="D11" s="56"/>
      <c r="E11" s="56"/>
    </row>
    <row r="12" spans="1:10" x14ac:dyDescent="0.25">
      <c r="A12" s="11"/>
      <c r="B12" s="44" t="s">
        <v>231</v>
      </c>
      <c r="C12" s="47"/>
      <c r="D12" s="56"/>
      <c r="E12" s="56"/>
    </row>
    <row r="13" spans="1:10" x14ac:dyDescent="0.25">
      <c r="A13" s="11"/>
      <c r="B13" s="44" t="s">
        <v>232</v>
      </c>
      <c r="C13" s="47"/>
      <c r="D13" s="55"/>
      <c r="E13" s="55"/>
      <c r="F13" s="50"/>
    </row>
    <row r="14" spans="1:10" s="22" customFormat="1" x14ac:dyDescent="0.25">
      <c r="A14" s="8">
        <v>2</v>
      </c>
      <c r="B14" s="40" t="s">
        <v>233</v>
      </c>
      <c r="C14" s="57"/>
      <c r="D14" s="56"/>
      <c r="E14" s="56"/>
      <c r="J14" s="51"/>
    </row>
    <row r="15" spans="1:10" x14ac:dyDescent="0.25">
      <c r="A15" s="11"/>
      <c r="B15" s="44" t="s">
        <v>229</v>
      </c>
      <c r="C15" s="57"/>
      <c r="D15" s="56"/>
      <c r="E15" s="56"/>
    </row>
    <row r="16" spans="1:10" x14ac:dyDescent="0.25">
      <c r="A16" s="11"/>
      <c r="B16" s="44" t="str">
        <f>B11</f>
        <v>Add : Addition during the year</v>
      </c>
      <c r="C16" s="47"/>
      <c r="D16" s="56"/>
      <c r="E16" s="56"/>
    </row>
    <row r="17" spans="1:7" x14ac:dyDescent="0.25">
      <c r="A17" s="11"/>
      <c r="B17" s="44" t="str">
        <f>B12</f>
        <v>Less : Utilized/transferred during the year</v>
      </c>
      <c r="C17" s="47"/>
      <c r="D17" s="56"/>
      <c r="E17" s="56"/>
    </row>
    <row r="18" spans="1:7" x14ac:dyDescent="0.2">
      <c r="A18" s="11"/>
      <c r="B18" s="44" t="s">
        <v>232</v>
      </c>
      <c r="C18" s="47"/>
      <c r="D18" s="55"/>
      <c r="E18" s="55"/>
    </row>
    <row r="19" spans="1:7" s="22" customFormat="1" x14ac:dyDescent="0.25">
      <c r="A19" s="8">
        <v>3</v>
      </c>
      <c r="B19" s="40" t="s">
        <v>234</v>
      </c>
      <c r="C19" s="57"/>
      <c r="D19" s="56"/>
      <c r="E19" s="56"/>
    </row>
    <row r="20" spans="1:7" x14ac:dyDescent="0.25">
      <c r="A20" s="9"/>
      <c r="B20" s="10" t="s">
        <v>235</v>
      </c>
      <c r="C20" s="58"/>
      <c r="D20" s="56"/>
      <c r="E20" s="56"/>
    </row>
    <row r="21" spans="1:7" x14ac:dyDescent="0.25">
      <c r="A21" s="11"/>
      <c r="B21" s="44" t="s">
        <v>229</v>
      </c>
      <c r="C21" s="47"/>
      <c r="D21" s="56"/>
      <c r="E21" s="56"/>
    </row>
    <row r="22" spans="1:7" x14ac:dyDescent="0.25">
      <c r="A22" s="11"/>
      <c r="B22" s="44" t="str">
        <f>B11</f>
        <v>Add : Addition during the year</v>
      </c>
      <c r="C22" s="47"/>
      <c r="D22" s="56"/>
      <c r="E22" s="56"/>
    </row>
    <row r="23" spans="1:7" x14ac:dyDescent="0.25">
      <c r="A23" s="11"/>
      <c r="B23" s="44" t="str">
        <f>B12</f>
        <v>Less : Utilized/transferred during the year</v>
      </c>
      <c r="C23" s="47"/>
      <c r="D23" s="56"/>
      <c r="E23" s="56"/>
    </row>
    <row r="24" spans="1:7" x14ac:dyDescent="0.2">
      <c r="A24" s="11"/>
      <c r="B24" s="44" t="s">
        <v>232</v>
      </c>
      <c r="C24" s="47"/>
      <c r="D24" s="55"/>
      <c r="E24" s="55"/>
    </row>
    <row r="25" spans="1:7" s="22" customFormat="1" x14ac:dyDescent="0.25">
      <c r="A25" s="8">
        <v>4</v>
      </c>
      <c r="B25" s="9" t="s">
        <v>236</v>
      </c>
      <c r="C25" s="58"/>
      <c r="D25" s="56"/>
      <c r="E25" s="56"/>
      <c r="F25" s="3"/>
    </row>
    <row r="26" spans="1:7" x14ac:dyDescent="0.25">
      <c r="A26" s="11"/>
      <c r="B26" s="44" t="s">
        <v>237</v>
      </c>
      <c r="C26" s="47"/>
      <c r="D26" s="59">
        <f>+'Balance Sheet and P&amp;L'!D245</f>
        <v>-8223.0677860540018</v>
      </c>
      <c r="E26" s="59">
        <f>+'Balance Sheet and P&amp;L'!E245</f>
        <v>-6540.1836134239993</v>
      </c>
    </row>
    <row r="27" spans="1:7" x14ac:dyDescent="0.25">
      <c r="A27" s="11"/>
      <c r="B27" s="44" t="s">
        <v>238</v>
      </c>
      <c r="C27" s="47"/>
      <c r="D27" s="59">
        <f>+'Balance Sheet and P&amp;L'!D246</f>
        <v>-810.82052673700082</v>
      </c>
      <c r="E27" s="59">
        <f>+'Balance Sheet and P&amp;L'!E246</f>
        <v>-1682.8841725980021</v>
      </c>
    </row>
    <row r="28" spans="1:7" x14ac:dyDescent="0.25">
      <c r="A28" s="11"/>
      <c r="B28" s="44" t="str">
        <f>B23</f>
        <v>Less : Utilized/transferred during the year</v>
      </c>
      <c r="C28" s="47"/>
      <c r="D28" s="56"/>
      <c r="E28" s="56"/>
    </row>
    <row r="29" spans="1:7" x14ac:dyDescent="0.25">
      <c r="A29" s="16"/>
      <c r="B29" s="44" t="s">
        <v>239</v>
      </c>
      <c r="C29" s="47"/>
      <c r="D29" s="56"/>
      <c r="E29" s="56"/>
    </row>
    <row r="30" spans="1:7" x14ac:dyDescent="0.25">
      <c r="A30" s="16"/>
      <c r="B30" s="44" t="s">
        <v>240</v>
      </c>
      <c r="C30" s="47"/>
      <c r="D30" s="56"/>
      <c r="E30" s="56"/>
    </row>
    <row r="31" spans="1:7" x14ac:dyDescent="0.25">
      <c r="A31" s="16"/>
      <c r="B31" s="44" t="s">
        <v>241</v>
      </c>
      <c r="C31" s="47"/>
      <c r="D31" s="56"/>
      <c r="E31" s="56"/>
    </row>
    <row r="32" spans="1:7" x14ac:dyDescent="0.2">
      <c r="A32" s="11"/>
      <c r="B32" s="44" t="s">
        <v>232</v>
      </c>
      <c r="C32" s="47"/>
      <c r="D32" s="60">
        <f>+D26+D27-D29-D30-D31</f>
        <v>-9033.888312791003</v>
      </c>
      <c r="E32" s="60">
        <f>+E26+E27-E29-E30-E31</f>
        <v>-8223.0677860220021</v>
      </c>
      <c r="G32" s="52"/>
    </row>
    <row r="33" spans="1:5" x14ac:dyDescent="0.2">
      <c r="A33" s="9"/>
      <c r="B33" s="21" t="s">
        <v>242</v>
      </c>
      <c r="C33" s="8"/>
      <c r="D33" s="60">
        <f>+D32+D13+D18+D24</f>
        <v>-9033.888312791003</v>
      </c>
      <c r="E33" s="60">
        <f>+E32+E13+E18+E24</f>
        <v>-8223.0677860220021</v>
      </c>
    </row>
    <row r="34" spans="1:5" x14ac:dyDescent="0.2">
      <c r="B34" s="38"/>
      <c r="C34" s="5"/>
      <c r="D34" s="1587"/>
      <c r="E34" s="1587"/>
    </row>
    <row r="35" spans="1:5" x14ac:dyDescent="0.2">
      <c r="A35" s="9"/>
      <c r="B35" s="10" t="s">
        <v>75</v>
      </c>
      <c r="C35" s="8"/>
      <c r="D35" s="1588">
        <f>+'Balance Sheet and P&amp;L'!D251</f>
        <v>91.14101530401723</v>
      </c>
      <c r="E35" s="1588">
        <f>+'Balance Sheet and P&amp;L'!E251</f>
        <v>468.05001187801292</v>
      </c>
    </row>
    <row r="36" spans="1:5" x14ac:dyDescent="0.2">
      <c r="A36" s="3"/>
      <c r="C36" s="3"/>
    </row>
    <row r="37" spans="1:5" x14ac:dyDescent="0.2">
      <c r="A37" s="22" t="s">
        <v>243</v>
      </c>
      <c r="B37" s="3" t="s">
        <v>153</v>
      </c>
    </row>
  </sheetData>
  <mergeCells count="6">
    <mergeCell ref="A5:E5"/>
    <mergeCell ref="A7:A8"/>
    <mergeCell ref="B7:B8"/>
    <mergeCell ref="C7:C8"/>
    <mergeCell ref="A2:E2"/>
    <mergeCell ref="B3:D3"/>
  </mergeCells>
  <printOptions horizontalCentered="1"/>
  <pageMargins left="0.78740157480314965" right="0.39370078740157483" top="0.78740157480314965" bottom="0.19685039370078741"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90"/>
  <sheetViews>
    <sheetView showGridLines="0" tabSelected="1" view="pageBreakPreview" zoomScale="80" zoomScaleNormal="80" zoomScaleSheetLayoutView="80" workbookViewId="0">
      <selection activeCell="I19" sqref="I19"/>
    </sheetView>
  </sheetViews>
  <sheetFormatPr defaultColWidth="9.140625" defaultRowHeight="15" x14ac:dyDescent="0.2"/>
  <cols>
    <col min="1" max="1" width="6.28515625" style="4" customWidth="1"/>
    <col min="2" max="2" width="23.28515625" style="3" customWidth="1"/>
    <col min="3" max="3" width="13.85546875" style="4" customWidth="1"/>
    <col min="4" max="4" width="13.85546875" style="3" customWidth="1"/>
    <col min="5" max="5" width="13.85546875" style="4" customWidth="1"/>
    <col min="6" max="10" width="15.5703125" style="3" customWidth="1"/>
    <col min="11" max="13" width="24.42578125" style="3" customWidth="1"/>
    <col min="14" max="16" width="16" style="3" customWidth="1"/>
    <col min="17" max="17" width="16" style="3" bestFit="1" customWidth="1"/>
    <col min="18" max="18" width="17.28515625" style="3" bestFit="1" customWidth="1"/>
    <col min="19" max="19" width="13.85546875" style="3" bestFit="1" customWidth="1"/>
    <col min="20" max="16384" width="9.140625" style="3"/>
  </cols>
  <sheetData>
    <row r="1" spans="1:13" x14ac:dyDescent="0.2">
      <c r="A1" s="1641"/>
      <c r="B1" s="1641"/>
      <c r="C1" s="1641"/>
      <c r="D1" s="1641"/>
      <c r="E1" s="1641"/>
      <c r="F1" s="1641"/>
      <c r="G1" s="1641"/>
      <c r="H1" s="1641"/>
      <c r="I1" s="1641"/>
      <c r="J1" s="1641"/>
      <c r="K1" s="1641"/>
      <c r="L1" s="1641"/>
      <c r="M1" s="1641"/>
    </row>
    <row r="2" spans="1:13" x14ac:dyDescent="0.2">
      <c r="A2" s="5"/>
      <c r="B2" s="1643" t="s">
        <v>0</v>
      </c>
      <c r="C2" s="1643"/>
      <c r="D2" s="1643"/>
      <c r="E2" s="1643"/>
      <c r="F2" s="1643"/>
      <c r="G2" s="1643"/>
      <c r="H2" s="1643"/>
      <c r="I2" s="1643"/>
      <c r="J2" s="1643"/>
      <c r="K2" s="1643"/>
      <c r="L2" s="1643"/>
      <c r="M2" s="1643"/>
    </row>
    <row r="3" spans="1:13" x14ac:dyDescent="0.2">
      <c r="A3" s="5"/>
      <c r="B3" s="5"/>
      <c r="C3" s="5"/>
      <c r="D3" s="5"/>
      <c r="E3" s="5"/>
      <c r="F3" s="5"/>
      <c r="G3" s="5"/>
      <c r="H3" s="1" t="s">
        <v>1</v>
      </c>
      <c r="I3" s="5"/>
      <c r="J3" s="5"/>
      <c r="K3" s="5"/>
      <c r="L3" s="5"/>
      <c r="M3" s="5"/>
    </row>
    <row r="4" spans="1:13" x14ac:dyDescent="0.2">
      <c r="A4" s="5"/>
      <c r="B4" s="5"/>
      <c r="C4" s="5"/>
      <c r="D4" s="5"/>
      <c r="E4" s="5"/>
      <c r="F4" s="5"/>
      <c r="G4" s="5"/>
      <c r="H4" s="5"/>
      <c r="I4" s="5"/>
      <c r="J4" s="5"/>
      <c r="K4" s="5"/>
      <c r="L4" s="5"/>
      <c r="M4" s="5"/>
    </row>
    <row r="5" spans="1:13" x14ac:dyDescent="0.2">
      <c r="A5" s="5"/>
      <c r="B5" s="5"/>
      <c r="C5" s="5"/>
      <c r="D5" s="5"/>
      <c r="E5" s="5"/>
      <c r="F5" s="5"/>
      <c r="G5" s="5"/>
      <c r="H5" s="5"/>
      <c r="I5" s="5"/>
      <c r="J5" s="5"/>
      <c r="K5" s="5"/>
      <c r="L5" s="5"/>
      <c r="M5" s="5"/>
    </row>
    <row r="6" spans="1:13" x14ac:dyDescent="0.2">
      <c r="A6" s="1640" t="s">
        <v>244</v>
      </c>
      <c r="B6" s="1640"/>
      <c r="C6" s="1640"/>
      <c r="D6" s="1640"/>
      <c r="E6" s="1640"/>
      <c r="F6" s="1640"/>
      <c r="G6" s="1640"/>
      <c r="H6" s="1640"/>
      <c r="I6" s="1640"/>
      <c r="J6" s="1640"/>
      <c r="K6" s="1640"/>
      <c r="L6" s="49"/>
      <c r="M6" s="49"/>
    </row>
    <row r="7" spans="1:13" x14ac:dyDescent="0.2">
      <c r="A7" s="1654" t="s">
        <v>245</v>
      </c>
      <c r="B7" s="1654"/>
      <c r="C7" s="1654"/>
      <c r="D7" s="1654"/>
      <c r="E7" s="1654"/>
      <c r="F7" s="1654"/>
      <c r="G7" s="1654"/>
      <c r="H7" s="1654"/>
      <c r="I7" s="1654"/>
      <c r="J7" s="1654"/>
      <c r="K7" s="1654"/>
      <c r="L7" s="61"/>
      <c r="M7" s="61"/>
    </row>
    <row r="8" spans="1:13" x14ac:dyDescent="0.2">
      <c r="A8" s="61"/>
      <c r="B8" s="61"/>
      <c r="C8" s="61"/>
      <c r="D8" s="61"/>
      <c r="E8" s="61"/>
      <c r="F8" s="61" t="s">
        <v>60</v>
      </c>
      <c r="G8" s="61"/>
      <c r="H8" s="61"/>
      <c r="I8" s="61"/>
      <c r="J8" s="61"/>
      <c r="K8" s="61" t="s">
        <v>246</v>
      </c>
      <c r="L8" s="61"/>
      <c r="M8" s="61"/>
    </row>
    <row r="9" spans="1:13" x14ac:dyDescent="0.2">
      <c r="A9" s="1642" t="s">
        <v>62</v>
      </c>
      <c r="B9" s="1653" t="s">
        <v>63</v>
      </c>
      <c r="C9" s="1642" t="s">
        <v>247</v>
      </c>
      <c r="D9" s="1642" t="s">
        <v>248</v>
      </c>
      <c r="E9" s="1642" t="s">
        <v>222</v>
      </c>
      <c r="F9" s="1642" t="str">
        <f>'4'!D7</f>
        <v>Figures as at the end of current reporting period</v>
      </c>
      <c r="G9" s="1642"/>
      <c r="H9" s="1642"/>
      <c r="I9" s="1807" t="s">
        <v>249</v>
      </c>
      <c r="J9" s="1807" t="s">
        <v>250</v>
      </c>
      <c r="K9" s="1653" t="str">
        <f>'3'!E7</f>
        <v>Figures as at the end of previous reporting period</v>
      </c>
      <c r="L9" s="1653"/>
      <c r="M9" s="1653"/>
    </row>
    <row r="10" spans="1:13" ht="85.5" x14ac:dyDescent="0.2">
      <c r="A10" s="1642"/>
      <c r="B10" s="1653"/>
      <c r="C10" s="1642"/>
      <c r="D10" s="1642"/>
      <c r="E10" s="1642"/>
      <c r="F10" s="6" t="s">
        <v>251</v>
      </c>
      <c r="G10" s="6" t="s">
        <v>252</v>
      </c>
      <c r="H10" s="6" t="s">
        <v>253</v>
      </c>
      <c r="I10" s="1807"/>
      <c r="J10" s="1807"/>
      <c r="K10" s="6" t="str">
        <f t="shared" ref="K10:M11" si="0">F10</f>
        <v>Total Long Term Borrowings</v>
      </c>
      <c r="L10" s="6" t="str">
        <f t="shared" si="0"/>
        <v>Current Maturities of Long term borrowings i.e. other Current Liabilites</v>
      </c>
      <c r="M10" s="6" t="str">
        <f t="shared" si="0"/>
        <v>Non Current Liabilities - Long Term Borrowings</v>
      </c>
    </row>
    <row r="11" spans="1:13" x14ac:dyDescent="0.2">
      <c r="A11" s="1642"/>
      <c r="B11" s="1653"/>
      <c r="C11" s="1642"/>
      <c r="D11" s="1642"/>
      <c r="E11" s="1642"/>
      <c r="F11" s="6" t="s">
        <v>156</v>
      </c>
      <c r="G11" s="6" t="s">
        <v>192</v>
      </c>
      <c r="H11" s="6" t="s">
        <v>254</v>
      </c>
      <c r="I11" s="1807"/>
      <c r="J11" s="1807"/>
      <c r="K11" s="41" t="str">
        <f t="shared" si="0"/>
        <v>(A)</v>
      </c>
      <c r="L11" s="6" t="str">
        <f t="shared" si="0"/>
        <v>(B)</v>
      </c>
      <c r="M11" s="6" t="str">
        <f t="shared" si="0"/>
        <v>(C)=(A)-(B)</v>
      </c>
    </row>
    <row r="12" spans="1:13" x14ac:dyDescent="0.2">
      <c r="A12" s="1642"/>
      <c r="B12" s="1653"/>
      <c r="C12" s="1642"/>
      <c r="D12" s="1642"/>
      <c r="E12" s="1642"/>
      <c r="F12" s="41" t="s">
        <v>223</v>
      </c>
      <c r="G12" s="41" t="str">
        <f>F12</f>
        <v>Rs.</v>
      </c>
      <c r="H12" s="41" t="str">
        <f>G12</f>
        <v>Rs.</v>
      </c>
      <c r="I12" s="1808" t="s">
        <v>223</v>
      </c>
      <c r="J12" s="1808" t="s">
        <v>223</v>
      </c>
      <c r="K12" s="41" t="str">
        <f>'4'!E8</f>
        <v>Rs.</v>
      </c>
      <c r="L12" s="41" t="str">
        <f>K12</f>
        <v>Rs.</v>
      </c>
      <c r="M12" s="41" t="str">
        <f>L12</f>
        <v>Rs.</v>
      </c>
    </row>
    <row r="13" spans="1:13" x14ac:dyDescent="0.2">
      <c r="A13" s="1605">
        <v>1</v>
      </c>
      <c r="B13" s="1604" t="s">
        <v>255</v>
      </c>
      <c r="C13" s="1606"/>
      <c r="D13" s="1607"/>
      <c r="E13" s="1608"/>
      <c r="F13" s="1609"/>
      <c r="G13" s="1609"/>
      <c r="H13" s="1609"/>
      <c r="I13" s="1596"/>
      <c r="J13" s="1596"/>
      <c r="K13" s="64"/>
      <c r="L13" s="64"/>
      <c r="M13" s="64"/>
    </row>
    <row r="14" spans="1:13" x14ac:dyDescent="0.2">
      <c r="A14" s="1605"/>
      <c r="B14" s="1604"/>
      <c r="C14" s="1606"/>
      <c r="D14" s="1607"/>
      <c r="E14" s="1608">
        <v>21501001</v>
      </c>
      <c r="F14" s="1609">
        <v>201.92370959999997</v>
      </c>
      <c r="G14" s="1609">
        <v>71.28</v>
      </c>
      <c r="H14" s="1609">
        <v>130.64370959999997</v>
      </c>
      <c r="I14" s="1596"/>
      <c r="J14" s="1596"/>
      <c r="K14" s="1609">
        <v>285.06876799999998</v>
      </c>
      <c r="L14" s="1609">
        <v>71.28</v>
      </c>
      <c r="M14" s="1609">
        <v>213.78876799999998</v>
      </c>
    </row>
    <row r="15" spans="1:13" x14ac:dyDescent="0.2">
      <c r="A15" s="1605"/>
      <c r="B15" s="1604"/>
      <c r="C15" s="1606"/>
      <c r="D15" s="1607"/>
      <c r="E15" s="1608">
        <v>21501002</v>
      </c>
      <c r="F15" s="1609">
        <v>251.89673206666666</v>
      </c>
      <c r="G15" s="1609">
        <v>88.92</v>
      </c>
      <c r="H15" s="1609">
        <v>162.97673206666667</v>
      </c>
      <c r="I15" s="1596"/>
      <c r="J15" s="1596"/>
      <c r="K15" s="1609">
        <v>355.61891580000002</v>
      </c>
      <c r="L15" s="1609">
        <v>88.92</v>
      </c>
      <c r="M15" s="1609">
        <v>266.69891580000001</v>
      </c>
    </row>
    <row r="16" spans="1:13" x14ac:dyDescent="0.2">
      <c r="A16" s="1605"/>
      <c r="B16" s="1604"/>
      <c r="C16" s="1606"/>
      <c r="D16" s="1607"/>
      <c r="E16" s="1608">
        <v>21504016</v>
      </c>
      <c r="F16" s="1609">
        <v>0</v>
      </c>
      <c r="G16" s="1609">
        <v>0</v>
      </c>
      <c r="H16" s="1609">
        <v>0</v>
      </c>
      <c r="I16" s="1596"/>
      <c r="J16" s="1596"/>
      <c r="K16" s="1609">
        <v>1.6841667</v>
      </c>
      <c r="L16" s="1609">
        <v>1.6841999999999999</v>
      </c>
      <c r="M16" s="1609">
        <v>-3.3299999999902852E-5</v>
      </c>
    </row>
    <row r="17" spans="1:13" x14ac:dyDescent="0.2">
      <c r="A17" s="1605"/>
      <c r="B17" s="1604"/>
      <c r="C17" s="1606"/>
      <c r="D17" s="1607"/>
      <c r="E17" s="1608">
        <v>21504017</v>
      </c>
      <c r="F17" s="1609">
        <v>4.7716668000000002</v>
      </c>
      <c r="G17" s="1609">
        <v>2.3860000000000001</v>
      </c>
      <c r="H17" s="1609">
        <v>2.3856668000000001</v>
      </c>
      <c r="I17" s="1596"/>
      <c r="J17" s="1596"/>
      <c r="K17" s="1609">
        <v>7.1575002000000003</v>
      </c>
      <c r="L17" s="1609">
        <v>2.3860000000000001</v>
      </c>
      <c r="M17" s="1609">
        <v>4.7715002000000002</v>
      </c>
    </row>
    <row r="18" spans="1:13" x14ac:dyDescent="0.2">
      <c r="A18" s="1605"/>
      <c r="B18" s="1604"/>
      <c r="C18" s="1606"/>
      <c r="D18" s="1607"/>
      <c r="E18" s="1608">
        <v>21504018</v>
      </c>
      <c r="F18" s="1609">
        <v>6052.8968505333332</v>
      </c>
      <c r="G18" s="1609">
        <v>666.4</v>
      </c>
      <c r="H18" s="1609">
        <v>5386.4968505333336</v>
      </c>
      <c r="I18" s="1596"/>
      <c r="J18" s="1596"/>
      <c r="K18" s="1609">
        <v>6830.3331446000002</v>
      </c>
      <c r="L18" s="1609">
        <v>666.4</v>
      </c>
      <c r="M18" s="1609">
        <v>6163.9331446000006</v>
      </c>
    </row>
    <row r="19" spans="1:13" x14ac:dyDescent="0.2">
      <c r="A19" s="1605"/>
      <c r="B19" s="1604"/>
      <c r="C19" s="1606"/>
      <c r="D19" s="1607"/>
      <c r="E19" s="1608">
        <v>21504019</v>
      </c>
      <c r="F19" s="1609">
        <v>3.9635123999999999</v>
      </c>
      <c r="G19" s="1609">
        <v>0.48</v>
      </c>
      <c r="H19" s="1609">
        <v>3.4835124</v>
      </c>
      <c r="I19" s="1596"/>
      <c r="J19" s="1596"/>
      <c r="K19" s="1609">
        <v>4.4298079000000001</v>
      </c>
      <c r="L19" s="1609">
        <v>0.48</v>
      </c>
      <c r="M19" s="1609">
        <v>3.9498079000000001</v>
      </c>
    </row>
    <row r="20" spans="1:13" x14ac:dyDescent="0.2">
      <c r="A20" s="1605"/>
      <c r="B20" s="1604"/>
      <c r="C20" s="1606"/>
      <c r="D20" s="1607"/>
      <c r="E20" s="1608">
        <v>21504020</v>
      </c>
      <c r="F20" s="1609">
        <v>78.100000199999997</v>
      </c>
      <c r="G20" s="1609">
        <v>14.2</v>
      </c>
      <c r="H20" s="1609">
        <v>63.900000199999994</v>
      </c>
      <c r="I20" s="1596"/>
      <c r="J20" s="1596"/>
      <c r="K20" s="1609">
        <v>92.300000299999994</v>
      </c>
      <c r="L20" s="1609">
        <v>14.2</v>
      </c>
      <c r="M20" s="1609">
        <v>78.100000299999991</v>
      </c>
    </row>
    <row r="21" spans="1:13" x14ac:dyDescent="0.2">
      <c r="A21" s="1605"/>
      <c r="B21" s="1604"/>
      <c r="C21" s="1606"/>
      <c r="D21" s="1607"/>
      <c r="E21" s="1608">
        <v>21504021</v>
      </c>
      <c r="F21" s="1609">
        <v>68.291800300000006</v>
      </c>
      <c r="G21" s="1609">
        <v>6.52</v>
      </c>
      <c r="H21" s="1609">
        <v>61.77180030000001</v>
      </c>
      <c r="I21" s="1596"/>
      <c r="J21" s="1596"/>
      <c r="K21" s="1609">
        <v>71.424684400000004</v>
      </c>
      <c r="L21" s="1609">
        <v>6.2108432000000002</v>
      </c>
      <c r="M21" s="1609">
        <v>65.213841200000005</v>
      </c>
    </row>
    <row r="22" spans="1:13" x14ac:dyDescent="0.2">
      <c r="A22" s="1605"/>
      <c r="B22" s="1604"/>
      <c r="C22" s="1606"/>
      <c r="D22" s="1607"/>
      <c r="E22" s="1608">
        <v>21504024</v>
      </c>
      <c r="F22" s="1609">
        <v>3.5282371000000001</v>
      </c>
      <c r="G22" s="1609">
        <v>0.47039999999999998</v>
      </c>
      <c r="H22" s="1609">
        <v>3.0578371</v>
      </c>
      <c r="I22" s="1596"/>
      <c r="J22" s="1596"/>
      <c r="K22" s="1609">
        <v>3.9986687999999999</v>
      </c>
      <c r="L22" s="1609">
        <v>0.47039999999999998</v>
      </c>
      <c r="M22" s="1609">
        <v>3.5282687999999998</v>
      </c>
    </row>
    <row r="23" spans="1:13" x14ac:dyDescent="0.2">
      <c r="A23" s="1605"/>
      <c r="B23" s="1604"/>
      <c r="C23" s="1606"/>
      <c r="D23" s="1607"/>
      <c r="E23" s="1608">
        <v>21504025</v>
      </c>
      <c r="F23" s="1609">
        <v>12.203099999999999</v>
      </c>
      <c r="G23" s="1609">
        <v>1.6272</v>
      </c>
      <c r="H23" s="1609">
        <v>10.575899999999999</v>
      </c>
      <c r="I23" s="1596"/>
      <c r="J23" s="1596"/>
      <c r="K23" s="1609">
        <v>13.8301801</v>
      </c>
      <c r="L23" s="1609">
        <v>1.6272</v>
      </c>
      <c r="M23" s="1609">
        <v>12.2029801</v>
      </c>
    </row>
    <row r="24" spans="1:13" x14ac:dyDescent="0.2">
      <c r="A24" s="1605"/>
      <c r="B24" s="1604"/>
      <c r="C24" s="1606"/>
      <c r="D24" s="1607"/>
      <c r="E24" s="1608">
        <v>21504029</v>
      </c>
      <c r="F24" s="1609">
        <v>1.84426</v>
      </c>
      <c r="G24" s="1609">
        <v>0.29480000000000001</v>
      </c>
      <c r="H24" s="1609">
        <v>1.5494600000000001</v>
      </c>
      <c r="I24" s="1596"/>
      <c r="J24" s="1596"/>
      <c r="K24" s="1609">
        <v>2.1393415</v>
      </c>
      <c r="L24" s="1609">
        <v>0.29480000000000001</v>
      </c>
      <c r="M24" s="1609">
        <v>1.8445415000000001</v>
      </c>
    </row>
    <row r="25" spans="1:13" x14ac:dyDescent="0.2">
      <c r="A25" s="1605"/>
      <c r="B25" s="1604"/>
      <c r="C25" s="1606"/>
      <c r="D25" s="1607"/>
      <c r="E25" s="1608">
        <v>21504030</v>
      </c>
      <c r="F25" s="1609">
        <v>0.34708660000000002</v>
      </c>
      <c r="G25" s="1609">
        <v>4.0800000000000003E-2</v>
      </c>
      <c r="H25" s="1609">
        <v>0.30628660000000002</v>
      </c>
      <c r="I25" s="1596"/>
      <c r="J25" s="1596"/>
      <c r="K25" s="1609">
        <v>0.3879203</v>
      </c>
      <c r="L25" s="1609">
        <v>4.0800000000000003E-2</v>
      </c>
      <c r="M25" s="1609">
        <v>0.34712029999999999</v>
      </c>
    </row>
    <row r="26" spans="1:13" x14ac:dyDescent="0.2">
      <c r="A26" s="1605"/>
      <c r="B26" s="1604"/>
      <c r="C26" s="1606"/>
      <c r="D26" s="1607"/>
      <c r="E26" s="1608">
        <v>21504031</v>
      </c>
      <c r="F26" s="1609">
        <v>4.3368172999999999</v>
      </c>
      <c r="G26" s="1609">
        <v>0.51</v>
      </c>
      <c r="H26" s="1609">
        <v>3.8268173000000001</v>
      </c>
      <c r="I26" s="1596"/>
      <c r="J26" s="1596"/>
      <c r="K26" s="1609">
        <v>4.8470310000000003</v>
      </c>
      <c r="L26" s="1609">
        <v>0.51</v>
      </c>
      <c r="M26" s="1609">
        <v>4.3370310000000005</v>
      </c>
    </row>
    <row r="27" spans="1:13" x14ac:dyDescent="0.2">
      <c r="A27" s="1605"/>
      <c r="B27" s="1604"/>
      <c r="C27" s="1606"/>
      <c r="D27" s="1607"/>
      <c r="E27" s="1608">
        <v>21504032</v>
      </c>
      <c r="F27" s="1609">
        <v>4.4185619000000003</v>
      </c>
      <c r="G27" s="1609">
        <v>0.51959999999999995</v>
      </c>
      <c r="H27" s="1609">
        <v>3.8989619000000002</v>
      </c>
      <c r="I27" s="1596"/>
      <c r="J27" s="1596"/>
      <c r="K27" s="1609">
        <v>4.9383927999999999</v>
      </c>
      <c r="L27" s="1609">
        <v>0.51959999999999995</v>
      </c>
      <c r="M27" s="1609">
        <v>4.4187928000000003</v>
      </c>
    </row>
    <row r="28" spans="1:13" x14ac:dyDescent="0.2">
      <c r="A28" s="1605"/>
      <c r="B28" s="1604"/>
      <c r="C28" s="1606"/>
      <c r="D28" s="1607"/>
      <c r="E28" s="1608">
        <v>21504034</v>
      </c>
      <c r="F28" s="1609">
        <v>3.7423511</v>
      </c>
      <c r="G28" s="1609">
        <v>0.49880000000000002</v>
      </c>
      <c r="H28" s="1609">
        <v>3.2435510999999999</v>
      </c>
      <c r="I28" s="1596"/>
      <c r="J28" s="1596"/>
      <c r="K28" s="1609">
        <v>4.2413314</v>
      </c>
      <c r="L28" s="1609">
        <v>0.49880000000000002</v>
      </c>
      <c r="M28" s="1609">
        <v>3.7425313999999998</v>
      </c>
    </row>
    <row r="29" spans="1:13" x14ac:dyDescent="0.2">
      <c r="A29" s="1605"/>
      <c r="B29" s="1604"/>
      <c r="C29" s="1606"/>
      <c r="D29" s="1607"/>
      <c r="E29" s="1608">
        <v>21504037</v>
      </c>
      <c r="F29" s="1609">
        <v>8.0179378000000003</v>
      </c>
      <c r="G29" s="1609">
        <v>1.1879999999999999</v>
      </c>
      <c r="H29" s="1609">
        <v>6.8299378000000006</v>
      </c>
      <c r="I29" s="1596"/>
      <c r="J29" s="1596"/>
      <c r="K29" s="1609">
        <v>9.2057803000000007</v>
      </c>
      <c r="L29" s="1609">
        <v>1.1879999999999999</v>
      </c>
      <c r="M29" s="1609">
        <v>8.0177803000000001</v>
      </c>
    </row>
    <row r="30" spans="1:13" x14ac:dyDescent="0.2">
      <c r="A30" s="1605"/>
      <c r="B30" s="1604"/>
      <c r="C30" s="1606"/>
      <c r="D30" s="1607"/>
      <c r="E30" s="1608">
        <v>21504038</v>
      </c>
      <c r="F30" s="1609">
        <v>18.38</v>
      </c>
      <c r="G30" s="1609">
        <v>1.8380000000000001</v>
      </c>
      <c r="H30" s="1609">
        <v>16.541999999999998</v>
      </c>
      <c r="I30" s="1596"/>
      <c r="J30" s="1596"/>
      <c r="K30" s="1609">
        <v>20.218</v>
      </c>
      <c r="L30" s="1609">
        <v>1.8380000000000001</v>
      </c>
      <c r="M30" s="1609">
        <v>18.38</v>
      </c>
    </row>
    <row r="31" spans="1:13" x14ac:dyDescent="0.2">
      <c r="A31" s="1605"/>
      <c r="B31" s="1604"/>
      <c r="C31" s="1606"/>
      <c r="D31" s="1607"/>
      <c r="E31" s="1608">
        <v>21504039</v>
      </c>
      <c r="F31" s="1609">
        <v>11.336497700000001</v>
      </c>
      <c r="G31" s="1609">
        <v>1.744</v>
      </c>
      <c r="H31" s="1609">
        <v>9.5924977000000009</v>
      </c>
      <c r="I31" s="1596"/>
      <c r="J31" s="1596"/>
      <c r="K31" s="1609">
        <v>13.080573899999999</v>
      </c>
      <c r="L31" s="1609">
        <v>1.744</v>
      </c>
      <c r="M31" s="1609">
        <v>11.336573899999999</v>
      </c>
    </row>
    <row r="32" spans="1:13" x14ac:dyDescent="0.2">
      <c r="A32" s="1605"/>
      <c r="B32" s="1604"/>
      <c r="C32" s="1606"/>
      <c r="D32" s="1607"/>
      <c r="E32" s="1608">
        <v>21504040</v>
      </c>
      <c r="F32" s="1609">
        <v>6.3466661000000002</v>
      </c>
      <c r="G32" s="1609">
        <v>0.72519999999999996</v>
      </c>
      <c r="H32" s="1609">
        <v>5.6214661000000001</v>
      </c>
      <c r="I32" s="1596"/>
      <c r="J32" s="1596"/>
      <c r="K32" s="1609">
        <v>7.0719994000000002</v>
      </c>
      <c r="L32" s="1609">
        <v>0.72519999999999996</v>
      </c>
      <c r="M32" s="1609">
        <v>6.3467994000000001</v>
      </c>
    </row>
    <row r="33" spans="1:13" x14ac:dyDescent="0.2">
      <c r="A33" s="1605"/>
      <c r="B33" s="1604"/>
      <c r="C33" s="1606"/>
      <c r="D33" s="1607"/>
      <c r="E33" s="1608">
        <v>21504042</v>
      </c>
      <c r="F33" s="1609">
        <v>0.83160509999999999</v>
      </c>
      <c r="G33" s="1609">
        <v>0.1108</v>
      </c>
      <c r="H33" s="1609">
        <v>0.72080509999999998</v>
      </c>
      <c r="I33" s="1596"/>
      <c r="J33" s="1596"/>
      <c r="K33" s="1609">
        <v>0.94248589999999999</v>
      </c>
      <c r="L33" s="1609">
        <v>0.1108</v>
      </c>
      <c r="M33" s="1609">
        <v>0.83168589999999998</v>
      </c>
    </row>
    <row r="34" spans="1:13" x14ac:dyDescent="0.2">
      <c r="A34" s="1605"/>
      <c r="B34" s="1604"/>
      <c r="C34" s="1606"/>
      <c r="D34" s="1607"/>
      <c r="E34" s="1608">
        <v>21504043</v>
      </c>
      <c r="F34" s="1609">
        <v>3.4929098999999999</v>
      </c>
      <c r="G34" s="1609">
        <v>0.46560000000000001</v>
      </c>
      <c r="H34" s="1609">
        <v>3.0273098999999997</v>
      </c>
      <c r="I34" s="1596"/>
      <c r="J34" s="1596"/>
      <c r="K34" s="1609">
        <v>3.9586312000000001</v>
      </c>
      <c r="L34" s="1609">
        <v>0.46560000000000001</v>
      </c>
      <c r="M34" s="1609">
        <v>3.4930311999999999</v>
      </c>
    </row>
    <row r="35" spans="1:13" x14ac:dyDescent="0.2">
      <c r="A35" s="1605"/>
      <c r="B35" s="1604"/>
      <c r="C35" s="1606"/>
      <c r="D35" s="1607"/>
      <c r="E35" s="1608">
        <v>21504044</v>
      </c>
      <c r="F35" s="1609">
        <v>1.0026366</v>
      </c>
      <c r="G35" s="1609">
        <v>0.1336</v>
      </c>
      <c r="H35" s="1609">
        <v>0.86903660000000005</v>
      </c>
      <c r="I35" s="1596"/>
      <c r="J35" s="1596"/>
      <c r="K35" s="1609">
        <v>1.1363216</v>
      </c>
      <c r="L35" s="1609">
        <v>0.1336</v>
      </c>
      <c r="M35" s="1609">
        <v>1.0027216000000001</v>
      </c>
    </row>
    <row r="36" spans="1:13" x14ac:dyDescent="0.2">
      <c r="A36" s="1605"/>
      <c r="B36" s="1604"/>
      <c r="C36" s="1606"/>
      <c r="D36" s="1607"/>
      <c r="E36" s="1608">
        <v>21504045</v>
      </c>
      <c r="F36" s="1609">
        <v>3.2415259000000001</v>
      </c>
      <c r="G36" s="1609">
        <v>0.43240000000000001</v>
      </c>
      <c r="H36" s="1609">
        <v>2.8091259000000002</v>
      </c>
      <c r="I36" s="1596"/>
      <c r="J36" s="1596"/>
      <c r="K36" s="1609">
        <v>3.6737294999999999</v>
      </c>
      <c r="L36" s="1609">
        <v>0.43240000000000001</v>
      </c>
      <c r="M36" s="1609">
        <v>3.2413295</v>
      </c>
    </row>
    <row r="37" spans="1:13" x14ac:dyDescent="0.2">
      <c r="A37" s="1605"/>
      <c r="B37" s="1604"/>
      <c r="C37" s="1606"/>
      <c r="D37" s="1607"/>
      <c r="E37" s="1608">
        <v>21504081</v>
      </c>
      <c r="F37" s="1609">
        <v>409.31060500000001</v>
      </c>
      <c r="G37" s="1609">
        <v>29.12</v>
      </c>
      <c r="H37" s="1609">
        <v>380.19060500000001</v>
      </c>
      <c r="I37" s="1596"/>
      <c r="J37" s="1596"/>
      <c r="K37" s="1609">
        <v>408.33225449999998</v>
      </c>
      <c r="L37" s="1609">
        <v>27.2221504</v>
      </c>
      <c r="M37" s="1609">
        <v>381.1101041</v>
      </c>
    </row>
    <row r="38" spans="1:13" x14ac:dyDescent="0.2">
      <c r="A38" s="1605"/>
      <c r="B38" s="1604"/>
      <c r="C38" s="1606"/>
      <c r="D38" s="1607"/>
      <c r="E38" s="1608">
        <v>21524001</v>
      </c>
      <c r="F38" s="1609">
        <v>27.671571499999999</v>
      </c>
      <c r="G38" s="1609">
        <v>27.671571499999999</v>
      </c>
      <c r="H38" s="1609">
        <v>0</v>
      </c>
      <c r="I38" s="1596"/>
      <c r="J38" s="1596"/>
      <c r="K38" s="1609">
        <v>59.247347699999999</v>
      </c>
      <c r="L38" s="1609">
        <v>31.575600000000001</v>
      </c>
      <c r="M38" s="1609">
        <v>27.671747699999997</v>
      </c>
    </row>
    <row r="39" spans="1:13" x14ac:dyDescent="0.2">
      <c r="A39" s="1605"/>
      <c r="B39" s="1604"/>
      <c r="C39" s="1606"/>
      <c r="D39" s="1607"/>
      <c r="E39" s="1608">
        <v>21504090</v>
      </c>
      <c r="F39" s="1609">
        <v>2.3513516000000001</v>
      </c>
      <c r="G39" s="1609">
        <v>0</v>
      </c>
      <c r="H39" s="1609">
        <v>2.3513516000000001</v>
      </c>
      <c r="I39" s="1596"/>
      <c r="J39" s="1596"/>
      <c r="K39" s="1609">
        <v>1.2243516999999999</v>
      </c>
      <c r="L39" s="1609">
        <v>0</v>
      </c>
      <c r="M39" s="1609">
        <v>1.2243516999999999</v>
      </c>
    </row>
    <row r="40" spans="1:13" x14ac:dyDescent="0.2">
      <c r="A40" s="1605"/>
      <c r="B40" s="1604"/>
      <c r="C40" s="1606"/>
      <c r="D40" s="1607"/>
      <c r="E40" s="1608">
        <v>21504091</v>
      </c>
      <c r="F40" s="1609">
        <v>1.7411399000000001</v>
      </c>
      <c r="G40" s="1609">
        <v>0</v>
      </c>
      <c r="H40" s="1609">
        <v>1.7411399000000001</v>
      </c>
      <c r="I40" s="1596"/>
      <c r="J40" s="1596"/>
      <c r="K40" s="1609">
        <v>1.1248910000000001</v>
      </c>
      <c r="L40" s="1609">
        <v>0</v>
      </c>
      <c r="M40" s="1609">
        <v>1.1248910000000001</v>
      </c>
    </row>
    <row r="41" spans="1:13" x14ac:dyDescent="0.2">
      <c r="A41" s="1605"/>
      <c r="B41" s="1604"/>
      <c r="C41" s="1606"/>
      <c r="D41" s="1607"/>
      <c r="E41" s="1608">
        <v>21504092</v>
      </c>
      <c r="F41" s="1609">
        <v>4.4467920000000003</v>
      </c>
      <c r="G41" s="1609">
        <v>0</v>
      </c>
      <c r="H41" s="1609">
        <v>4.4467920000000003</v>
      </c>
      <c r="I41" s="1596"/>
      <c r="J41" s="1596"/>
      <c r="K41" s="1609">
        <v>0</v>
      </c>
      <c r="L41" s="1609">
        <v>0</v>
      </c>
      <c r="M41" s="1609">
        <v>0</v>
      </c>
    </row>
    <row r="42" spans="1:13" x14ac:dyDescent="0.2">
      <c r="A42" s="1605"/>
      <c r="B42" s="1604"/>
      <c r="C42" s="1606"/>
      <c r="D42" s="1607"/>
      <c r="E42" s="1608">
        <v>21504093</v>
      </c>
      <c r="F42" s="1609">
        <v>10.65</v>
      </c>
      <c r="G42" s="1609">
        <v>0</v>
      </c>
      <c r="H42" s="1609">
        <v>10.65</v>
      </c>
      <c r="I42" s="1596"/>
      <c r="J42" s="1596"/>
      <c r="K42" s="1609">
        <v>0</v>
      </c>
      <c r="L42" s="1609">
        <v>0</v>
      </c>
      <c r="M42" s="1609">
        <v>0</v>
      </c>
    </row>
    <row r="43" spans="1:13" x14ac:dyDescent="0.2">
      <c r="A43" s="1605"/>
      <c r="B43" s="1604"/>
      <c r="C43" s="1606"/>
      <c r="D43" s="1607"/>
      <c r="E43" s="1608">
        <v>21504097</v>
      </c>
      <c r="F43" s="1609">
        <v>4.6243607000000004</v>
      </c>
      <c r="G43" s="1609">
        <v>0</v>
      </c>
      <c r="H43" s="1609">
        <v>4.6243607000000004</v>
      </c>
      <c r="I43" s="1596"/>
      <c r="J43" s="1596"/>
      <c r="K43" s="1609">
        <v>0.2466449</v>
      </c>
      <c r="L43" s="1609">
        <v>0</v>
      </c>
      <c r="M43" s="1609">
        <v>0.2466449</v>
      </c>
    </row>
    <row r="44" spans="1:13" x14ac:dyDescent="0.2">
      <c r="A44" s="1605"/>
      <c r="B44" s="1604"/>
      <c r="C44" s="1606"/>
      <c r="D44" s="1607"/>
      <c r="E44" s="1608">
        <v>21540002</v>
      </c>
      <c r="F44" s="1609">
        <v>180</v>
      </c>
      <c r="G44" s="1609">
        <v>0</v>
      </c>
      <c r="H44" s="1609">
        <v>180</v>
      </c>
      <c r="I44" s="1596"/>
      <c r="J44" s="1596"/>
      <c r="K44" s="1609">
        <v>75</v>
      </c>
      <c r="L44" s="1609">
        <v>0</v>
      </c>
      <c r="M44" s="1609">
        <v>75</v>
      </c>
    </row>
    <row r="45" spans="1:13" x14ac:dyDescent="0.2">
      <c r="A45" s="1605"/>
      <c r="B45" s="1604"/>
      <c r="C45" s="1606"/>
      <c r="D45" s="1607"/>
      <c r="E45" s="1502">
        <v>21504098</v>
      </c>
      <c r="F45" s="1609">
        <v>17.0366766</v>
      </c>
      <c r="G45" s="1609">
        <v>0</v>
      </c>
      <c r="H45" s="1609">
        <v>17.0366766</v>
      </c>
      <c r="I45" s="1596"/>
      <c r="J45" s="1596"/>
      <c r="K45" s="1609">
        <v>0</v>
      </c>
      <c r="L45" s="1609">
        <v>0</v>
      </c>
      <c r="M45" s="1609">
        <v>0</v>
      </c>
    </row>
    <row r="46" spans="1:13" x14ac:dyDescent="0.2">
      <c r="A46" s="1605"/>
      <c r="B46" s="1604"/>
      <c r="C46" s="1606"/>
      <c r="D46" s="1607"/>
      <c r="E46" s="1502">
        <v>21504099</v>
      </c>
      <c r="F46" s="1609">
        <v>12.8103008</v>
      </c>
      <c r="G46" s="1609">
        <v>0</v>
      </c>
      <c r="H46" s="1609">
        <v>12.8103008</v>
      </c>
      <c r="I46" s="1596"/>
      <c r="J46" s="1596"/>
      <c r="K46" s="1609">
        <v>0</v>
      </c>
      <c r="L46" s="1609">
        <v>0</v>
      </c>
      <c r="M46" s="1609">
        <v>0</v>
      </c>
    </row>
    <row r="47" spans="1:13" x14ac:dyDescent="0.2">
      <c r="A47" s="1605"/>
      <c r="B47" s="1604"/>
      <c r="C47" s="1606"/>
      <c r="D47" s="1607"/>
      <c r="E47" s="1502">
        <v>21504087</v>
      </c>
      <c r="F47" s="1609">
        <v>41.024519499999997</v>
      </c>
      <c r="G47" s="1609">
        <v>0</v>
      </c>
      <c r="H47" s="1609">
        <v>41.024519499999997</v>
      </c>
      <c r="I47" s="1596"/>
      <c r="J47" s="1596"/>
      <c r="K47" s="1609">
        <v>0</v>
      </c>
      <c r="L47" s="1609">
        <v>0</v>
      </c>
      <c r="M47" s="1609">
        <v>0</v>
      </c>
    </row>
    <row r="48" spans="1:13" x14ac:dyDescent="0.2">
      <c r="A48" s="1605"/>
      <c r="B48" s="1604"/>
      <c r="C48" s="1606"/>
      <c r="D48" s="1607"/>
      <c r="E48" s="1502">
        <v>21571004</v>
      </c>
      <c r="F48" s="1609">
        <v>1800</v>
      </c>
      <c r="G48" s="1609">
        <v>0</v>
      </c>
      <c r="H48" s="1609">
        <v>1800</v>
      </c>
      <c r="I48" s="1596"/>
      <c r="J48" s="1596"/>
      <c r="K48" s="1609">
        <v>0</v>
      </c>
      <c r="L48" s="1609">
        <v>0</v>
      </c>
      <c r="M48" s="1609">
        <v>0</v>
      </c>
    </row>
    <row r="49" spans="1:13" x14ac:dyDescent="0.2">
      <c r="A49" s="1605"/>
      <c r="B49" s="1604"/>
      <c r="C49" s="1606"/>
      <c r="D49" s="1607"/>
      <c r="E49" s="1502">
        <v>21571005</v>
      </c>
      <c r="F49" s="1609">
        <v>500</v>
      </c>
      <c r="G49" s="1609">
        <v>0</v>
      </c>
      <c r="H49" s="1609">
        <v>500</v>
      </c>
      <c r="I49" s="1596"/>
      <c r="J49" s="1596"/>
      <c r="K49" s="1609">
        <v>0</v>
      </c>
      <c r="L49" s="1609">
        <v>0</v>
      </c>
      <c r="M49" s="1609">
        <v>0</v>
      </c>
    </row>
    <row r="50" spans="1:13" x14ac:dyDescent="0.2">
      <c r="A50" s="1605"/>
      <c r="B50" s="1604"/>
      <c r="C50" s="1606"/>
      <c r="D50" s="1607"/>
      <c r="E50" s="1608"/>
      <c r="F50" s="1609"/>
      <c r="G50" s="1609"/>
      <c r="H50" s="1609"/>
      <c r="I50" s="1596"/>
      <c r="J50" s="1596"/>
      <c r="K50" s="1609"/>
      <c r="L50" s="1609"/>
      <c r="M50" s="1609"/>
    </row>
    <row r="51" spans="1:13" x14ac:dyDescent="0.2">
      <c r="A51" s="1605"/>
      <c r="B51" s="1604"/>
      <c r="C51" s="1606"/>
      <c r="D51" s="1607"/>
      <c r="E51" s="1610" t="s">
        <v>256</v>
      </c>
      <c r="F51" s="1611">
        <f>SUM(F14:F50)</f>
        <v>9756.5817825999984</v>
      </c>
      <c r="G51" s="1611">
        <f>SUM(G14:G50)</f>
        <v>917.57677150000006</v>
      </c>
      <c r="H51" s="1611">
        <f>SUM(H14:H50)</f>
        <v>8839.0050111000019</v>
      </c>
      <c r="I51" s="1596"/>
      <c r="J51" s="1596"/>
      <c r="K51" s="1611">
        <f>SUM(K14:K50)</f>
        <v>8286.8628653999986</v>
      </c>
      <c r="L51" s="1611">
        <f>SUM(L14:L50)</f>
        <v>920.95799360000012</v>
      </c>
      <c r="M51" s="1611">
        <f>SUM(M14:M50)</f>
        <v>7365.9048718000004</v>
      </c>
    </row>
    <row r="52" spans="1:13" x14ac:dyDescent="0.2">
      <c r="A52" s="1605"/>
      <c r="B52" s="1604"/>
      <c r="C52" s="1606"/>
      <c r="D52" s="1607"/>
      <c r="E52" s="1612"/>
      <c r="F52" s="1609"/>
      <c r="G52" s="1609"/>
      <c r="H52" s="1609"/>
      <c r="I52" s="1596"/>
      <c r="J52" s="1596"/>
      <c r="K52" s="1609"/>
      <c r="L52" s="1609"/>
      <c r="M52" s="1609"/>
    </row>
    <row r="53" spans="1:13" x14ac:dyDescent="0.2">
      <c r="A53" s="1613">
        <v>2</v>
      </c>
      <c r="B53" s="1604" t="s">
        <v>257</v>
      </c>
      <c r="C53" s="1614"/>
      <c r="D53" s="1614"/>
      <c r="E53" s="1612" t="s">
        <v>258</v>
      </c>
      <c r="F53" s="1609">
        <v>1723.966314604</v>
      </c>
      <c r="G53" s="1609">
        <v>431</v>
      </c>
      <c r="H53" s="1609">
        <v>1292.966314604</v>
      </c>
      <c r="I53" s="1596"/>
      <c r="J53" s="1596"/>
      <c r="K53" s="1609">
        <v>2154.9582943</v>
      </c>
      <c r="L53" s="1609">
        <v>431</v>
      </c>
      <c r="M53" s="1609">
        <v>1723.9582943</v>
      </c>
    </row>
    <row r="54" spans="1:13" x14ac:dyDescent="0.2">
      <c r="A54" s="1613"/>
      <c r="B54" s="1604"/>
      <c r="C54" s="1614"/>
      <c r="D54" s="1614"/>
      <c r="E54" s="1612" t="s">
        <v>259</v>
      </c>
      <c r="F54" s="1609">
        <v>3399.7477695309999</v>
      </c>
      <c r="G54" s="1609">
        <v>543.96</v>
      </c>
      <c r="H54" s="1609">
        <v>2855.7877695309999</v>
      </c>
      <c r="I54" s="1596"/>
      <c r="J54" s="1596"/>
      <c r="K54" s="1609">
        <v>3943.7074114000002</v>
      </c>
      <c r="L54" s="1609">
        <v>543.96</v>
      </c>
      <c r="M54" s="1609">
        <v>3399.7474114000001</v>
      </c>
    </row>
    <row r="55" spans="1:13" x14ac:dyDescent="0.2">
      <c r="A55" s="1613"/>
      <c r="B55" s="1604"/>
      <c r="C55" s="1614"/>
      <c r="D55" s="1614"/>
      <c r="E55" s="1612" t="s">
        <v>260</v>
      </c>
      <c r="F55" s="1609">
        <v>821.65819999600012</v>
      </c>
      <c r="G55" s="1609">
        <v>136.96</v>
      </c>
      <c r="H55" s="1609">
        <v>684.69819999600008</v>
      </c>
      <c r="I55" s="1596"/>
      <c r="J55" s="1596"/>
      <c r="K55" s="1609">
        <v>958.60123380000005</v>
      </c>
      <c r="L55" s="1609">
        <v>136.96</v>
      </c>
      <c r="M55" s="1609">
        <v>821.64123380000001</v>
      </c>
    </row>
    <row r="56" spans="1:13" x14ac:dyDescent="0.2">
      <c r="A56" s="1613"/>
      <c r="B56" s="1604"/>
      <c r="C56" s="1614"/>
      <c r="D56" s="1614"/>
      <c r="E56" s="1615">
        <v>12610831</v>
      </c>
      <c r="F56" s="1609">
        <v>733.68421011600003</v>
      </c>
      <c r="G56" s="1609">
        <v>210.52</v>
      </c>
      <c r="H56" s="1609">
        <v>523.16421011600005</v>
      </c>
      <c r="I56" s="1596"/>
      <c r="J56" s="1596"/>
      <c r="K56" s="1609">
        <v>947.36842030000003</v>
      </c>
      <c r="L56" s="1609">
        <v>210.52</v>
      </c>
      <c r="M56" s="1609">
        <v>736.84842030000004</v>
      </c>
    </row>
    <row r="57" spans="1:13" x14ac:dyDescent="0.2">
      <c r="A57" s="1613"/>
      <c r="B57" s="1604"/>
      <c r="C57" s="1614"/>
      <c r="D57" s="1614"/>
      <c r="E57" s="1615">
        <v>12528</v>
      </c>
      <c r="F57" s="1609">
        <v>88.903181955999997</v>
      </c>
      <c r="G57" s="1609">
        <v>11.48</v>
      </c>
      <c r="H57" s="1609">
        <v>77.423181955999993</v>
      </c>
      <c r="I57" s="1596"/>
      <c r="J57" s="1596"/>
      <c r="K57" s="1609">
        <v>102.0740235</v>
      </c>
      <c r="L57" s="1609">
        <v>11.48</v>
      </c>
      <c r="M57" s="1609">
        <v>90.594023499999992</v>
      </c>
    </row>
    <row r="58" spans="1:13" x14ac:dyDescent="0.2">
      <c r="A58" s="1613"/>
      <c r="B58" s="1604"/>
      <c r="C58" s="1614"/>
      <c r="D58" s="1614"/>
      <c r="E58" s="1612" t="s">
        <v>261</v>
      </c>
      <c r="F58" s="1609">
        <v>3233.8955909000001</v>
      </c>
      <c r="G58" s="1609">
        <v>0</v>
      </c>
      <c r="H58" s="1609">
        <v>3233.8955909000001</v>
      </c>
      <c r="I58" s="1596"/>
      <c r="J58" s="1596"/>
      <c r="K58" s="1609">
        <v>2408.2439595999999</v>
      </c>
      <c r="L58" s="1609">
        <v>0</v>
      </c>
      <c r="M58" s="1609">
        <v>2408.2439595999999</v>
      </c>
    </row>
    <row r="59" spans="1:13" x14ac:dyDescent="0.2">
      <c r="A59" s="1613"/>
      <c r="B59" s="1604"/>
      <c r="C59" s="1614"/>
      <c r="D59" s="1614"/>
      <c r="E59" s="1616" t="s">
        <v>262</v>
      </c>
      <c r="F59" s="1609">
        <v>57.145556599999999</v>
      </c>
      <c r="G59" s="1609">
        <v>0</v>
      </c>
      <c r="H59" s="1609">
        <v>57.145556599999999</v>
      </c>
      <c r="I59" s="1596"/>
      <c r="J59" s="1596"/>
      <c r="K59" s="1609">
        <v>4.6945249999999996</v>
      </c>
      <c r="L59" s="1609">
        <v>0</v>
      </c>
      <c r="M59" s="1609">
        <v>4.6945249999999996</v>
      </c>
    </row>
    <row r="60" spans="1:13" x14ac:dyDescent="0.2">
      <c r="A60" s="1613"/>
      <c r="B60" s="1604"/>
      <c r="C60" s="1614"/>
      <c r="D60" s="1614"/>
      <c r="E60" s="1616" t="s">
        <v>263</v>
      </c>
      <c r="F60" s="1609">
        <v>0.17399999999999999</v>
      </c>
      <c r="G60" s="1609">
        <v>0</v>
      </c>
      <c r="H60" s="1609">
        <v>0.17399999999999999</v>
      </c>
      <c r="I60" s="1596"/>
      <c r="J60" s="1596"/>
      <c r="K60" s="1609">
        <v>0.17399999999999999</v>
      </c>
      <c r="L60" s="1609">
        <v>0</v>
      </c>
      <c r="M60" s="1609">
        <v>0.17399999999999999</v>
      </c>
    </row>
    <row r="61" spans="1:13" x14ac:dyDescent="0.2">
      <c r="A61" s="1613"/>
      <c r="B61" s="1604"/>
      <c r="C61" s="1614"/>
      <c r="D61" s="1614"/>
      <c r="E61" s="1616" t="s">
        <v>264</v>
      </c>
      <c r="F61" s="1609">
        <v>355.7161997</v>
      </c>
      <c r="G61" s="1609">
        <v>0</v>
      </c>
      <c r="H61" s="1609">
        <v>355.7161997</v>
      </c>
      <c r="I61" s="1596"/>
      <c r="J61" s="1596"/>
      <c r="K61" s="1609">
        <v>306.141413</v>
      </c>
      <c r="L61" s="1609">
        <v>0</v>
      </c>
      <c r="M61" s="1609">
        <v>306.141413</v>
      </c>
    </row>
    <row r="62" spans="1:13" x14ac:dyDescent="0.2">
      <c r="A62" s="1613"/>
      <c r="B62" s="1604"/>
      <c r="C62" s="1614"/>
      <c r="D62" s="1614"/>
      <c r="E62" s="1612" t="s">
        <v>265</v>
      </c>
      <c r="F62" s="1609">
        <v>5.1572978999999997</v>
      </c>
      <c r="G62" s="1609">
        <v>1.0314596</v>
      </c>
      <c r="H62" s="1609">
        <v>4.1258382999999998</v>
      </c>
      <c r="I62" s="1596"/>
      <c r="J62" s="1596"/>
      <c r="K62" s="1609">
        <v>6.1887575000000004</v>
      </c>
      <c r="L62" s="1609">
        <v>1.0314596</v>
      </c>
      <c r="M62" s="1609">
        <v>5.1572979000000005</v>
      </c>
    </row>
    <row r="63" spans="1:13" x14ac:dyDescent="0.2">
      <c r="A63" s="1613"/>
      <c r="B63" s="1604"/>
      <c r="C63" s="1614"/>
      <c r="D63" s="1614"/>
      <c r="E63" s="1612" t="s">
        <v>266</v>
      </c>
      <c r="F63" s="1609">
        <v>2.9200976999999999</v>
      </c>
      <c r="G63" s="1609">
        <v>2.92</v>
      </c>
      <c r="H63" s="1609">
        <v>9.769999999997836E-5</v>
      </c>
      <c r="I63" s="1596"/>
      <c r="J63" s="1596"/>
      <c r="K63" s="1609">
        <v>5.8401955000000001</v>
      </c>
      <c r="L63" s="1609">
        <v>2.92</v>
      </c>
      <c r="M63" s="1609">
        <v>2.9201955000000002</v>
      </c>
    </row>
    <row r="64" spans="1:13" x14ac:dyDescent="0.2">
      <c r="A64" s="1613"/>
      <c r="B64" s="1604"/>
      <c r="C64" s="1614"/>
      <c r="D64" s="1614"/>
      <c r="E64" s="1612" t="s">
        <v>267</v>
      </c>
      <c r="F64" s="1609">
        <v>0.58555029999999997</v>
      </c>
      <c r="G64" s="1609">
        <v>0.58550000000000002</v>
      </c>
      <c r="H64" s="1609">
        <v>5.0299999999947609E-5</v>
      </c>
      <c r="I64" s="1596"/>
      <c r="J64" s="1596"/>
      <c r="K64" s="1609">
        <v>1.1711008000000001</v>
      </c>
      <c r="L64" s="1609">
        <v>0.58550000000000002</v>
      </c>
      <c r="M64" s="1609">
        <v>0.58560080000000003</v>
      </c>
    </row>
    <row r="65" spans="1:13" x14ac:dyDescent="0.2">
      <c r="A65" s="1613"/>
      <c r="B65" s="1604"/>
      <c r="C65" s="1614"/>
      <c r="D65" s="1614"/>
      <c r="E65" s="1612" t="s">
        <v>268</v>
      </c>
      <c r="F65" s="1609">
        <v>1.9949718999999999</v>
      </c>
      <c r="G65" s="1609">
        <v>1.99</v>
      </c>
      <c r="H65" s="1609">
        <v>4.9718999999999181E-3</v>
      </c>
      <c r="I65" s="1596"/>
      <c r="J65" s="1596"/>
      <c r="K65" s="1609">
        <v>3.9899445999999998</v>
      </c>
      <c r="L65" s="1609">
        <v>1.99</v>
      </c>
      <c r="M65" s="1609">
        <v>1.9999445999999999</v>
      </c>
    </row>
    <row r="66" spans="1:13" x14ac:dyDescent="0.2">
      <c r="A66" s="1613"/>
      <c r="B66" s="1604"/>
      <c r="C66" s="1614"/>
      <c r="D66" s="1614"/>
      <c r="E66" s="1612" t="s">
        <v>269</v>
      </c>
      <c r="F66" s="1609">
        <v>1.5995225</v>
      </c>
      <c r="G66" s="1609">
        <v>1.6</v>
      </c>
      <c r="H66" s="1609">
        <v>-4.775000000001306E-4</v>
      </c>
      <c r="I66" s="1596"/>
      <c r="J66" s="1596"/>
      <c r="K66" s="1609">
        <v>3.1990454000000001</v>
      </c>
      <c r="L66" s="1609">
        <v>1.6</v>
      </c>
      <c r="M66" s="1609">
        <v>1.5990454000000001</v>
      </c>
    </row>
    <row r="67" spans="1:13" x14ac:dyDescent="0.2">
      <c r="A67" s="1613"/>
      <c r="B67" s="1604"/>
      <c r="C67" s="1614"/>
      <c r="D67" s="1614"/>
      <c r="E67" s="1612" t="s">
        <v>270</v>
      </c>
      <c r="F67" s="1609">
        <v>0.24952750000000001</v>
      </c>
      <c r="G67" s="1609">
        <v>0.2495</v>
      </c>
      <c r="H67" s="1609">
        <v>2.7500000000013625E-5</v>
      </c>
      <c r="I67" s="1596"/>
      <c r="J67" s="1596"/>
      <c r="K67" s="1609">
        <v>0.49905500000000003</v>
      </c>
      <c r="L67" s="1609">
        <v>0.2495</v>
      </c>
      <c r="M67" s="1609">
        <v>0.24955500000000003</v>
      </c>
    </row>
    <row r="68" spans="1:13" x14ac:dyDescent="0.2">
      <c r="A68" s="1613"/>
      <c r="B68" s="1604"/>
      <c r="C68" s="1614"/>
      <c r="D68" s="1614"/>
      <c r="E68" s="1612" t="s">
        <v>271</v>
      </c>
      <c r="F68" s="1609">
        <v>10.569914402</v>
      </c>
      <c r="G68" s="1609">
        <v>1.3192143999999999</v>
      </c>
      <c r="H68" s="1609">
        <v>9.2507000020000003</v>
      </c>
      <c r="I68" s="1596"/>
      <c r="J68" s="1596"/>
      <c r="K68" s="1609">
        <v>11.213321887999999</v>
      </c>
      <c r="L68" s="1609">
        <v>1.3192143999999999</v>
      </c>
      <c r="M68" s="1609">
        <v>9.8941074879999995</v>
      </c>
    </row>
    <row r="69" spans="1:13" x14ac:dyDescent="0.2">
      <c r="A69" s="1613"/>
      <c r="B69" s="1604"/>
      <c r="C69" s="1614"/>
      <c r="D69" s="1614"/>
      <c r="E69" s="1612" t="s">
        <v>272</v>
      </c>
      <c r="F69" s="1609">
        <v>12.928551461000001</v>
      </c>
      <c r="G69" s="1609">
        <v>1.5210060000000001</v>
      </c>
      <c r="H69" s="1609">
        <v>11.407545461000002</v>
      </c>
      <c r="I69" s="1596"/>
      <c r="J69" s="1596"/>
      <c r="K69" s="1609">
        <v>14.449557474000001</v>
      </c>
      <c r="L69" s="1609">
        <v>1.5210060000000001</v>
      </c>
      <c r="M69" s="1609">
        <v>12.928551474000001</v>
      </c>
    </row>
    <row r="70" spans="1:13" x14ac:dyDescent="0.2">
      <c r="A70" s="1613"/>
      <c r="B70" s="1604"/>
      <c r="C70" s="1614"/>
      <c r="D70" s="1614"/>
      <c r="E70" s="1612" t="s">
        <v>273</v>
      </c>
      <c r="F70" s="1609">
        <v>7.8559745159999999</v>
      </c>
      <c r="G70" s="1609">
        <v>1.1638481119999999</v>
      </c>
      <c r="H70" s="1609">
        <v>6.6921264039999997</v>
      </c>
      <c r="I70" s="1596"/>
      <c r="J70" s="1596"/>
      <c r="K70" s="1609">
        <v>9.0198225440000002</v>
      </c>
      <c r="L70" s="1609">
        <v>1.1638481119999999</v>
      </c>
      <c r="M70" s="1609">
        <v>7.855974432</v>
      </c>
    </row>
    <row r="71" spans="1:13" x14ac:dyDescent="0.2">
      <c r="A71" s="1613"/>
      <c r="B71" s="1604"/>
      <c r="C71" s="1614"/>
      <c r="D71" s="1614"/>
      <c r="E71" s="1612" t="s">
        <v>274</v>
      </c>
      <c r="F71" s="1609">
        <v>7.9278098999999997</v>
      </c>
      <c r="G71" s="1609">
        <v>1.0229432000000001</v>
      </c>
      <c r="H71" s="1609">
        <v>6.9048666999999995</v>
      </c>
      <c r="I71" s="1596"/>
      <c r="J71" s="1596"/>
      <c r="K71" s="1609">
        <v>8.9507531</v>
      </c>
      <c r="L71" s="1609">
        <v>1.0229432000000001</v>
      </c>
      <c r="M71" s="1609">
        <v>7.9278098999999997</v>
      </c>
    </row>
    <row r="72" spans="1:13" x14ac:dyDescent="0.2">
      <c r="A72" s="1613"/>
      <c r="B72" s="1604"/>
      <c r="C72" s="1614"/>
      <c r="D72" s="1614"/>
      <c r="E72" s="1612" t="s">
        <v>275</v>
      </c>
      <c r="F72" s="1609">
        <v>8.1686950450000015</v>
      </c>
      <c r="G72" s="1609">
        <v>1.2101771400000001</v>
      </c>
      <c r="H72" s="1609">
        <v>6.9585179050000017</v>
      </c>
      <c r="I72" s="1596"/>
      <c r="J72" s="1596"/>
      <c r="K72" s="1609">
        <v>9.3788722300000007</v>
      </c>
      <c r="L72" s="1609">
        <v>1.2101771400000001</v>
      </c>
      <c r="M72" s="1609">
        <v>8.1686950899999999</v>
      </c>
    </row>
    <row r="73" spans="1:13" x14ac:dyDescent="0.2">
      <c r="A73" s="1613"/>
      <c r="B73" s="1604"/>
      <c r="C73" s="1614"/>
      <c r="D73" s="1614"/>
      <c r="E73" s="1612" t="s">
        <v>276</v>
      </c>
      <c r="F73" s="1609">
        <v>8.6447747959999983</v>
      </c>
      <c r="G73" s="1609">
        <v>1.2349678719999999</v>
      </c>
      <c r="H73" s="1609">
        <v>7.409806923999998</v>
      </c>
      <c r="I73" s="1596"/>
      <c r="J73" s="1596"/>
      <c r="K73" s="1609">
        <v>9.8797427639999977</v>
      </c>
      <c r="L73" s="1609">
        <v>1.2349678719999999</v>
      </c>
      <c r="M73" s="1609">
        <v>8.6447748919999974</v>
      </c>
    </row>
    <row r="74" spans="1:13" x14ac:dyDescent="0.2">
      <c r="A74" s="1613"/>
      <c r="B74" s="1604"/>
      <c r="C74" s="1614"/>
      <c r="D74" s="1614"/>
      <c r="E74" s="1612" t="s">
        <v>277</v>
      </c>
      <c r="F74" s="1609">
        <v>26.724789743000002</v>
      </c>
      <c r="G74" s="1609">
        <v>3.8178272759999996</v>
      </c>
      <c r="H74" s="1609">
        <v>22.906962467000003</v>
      </c>
      <c r="I74" s="1596"/>
      <c r="J74" s="1596"/>
      <c r="K74" s="1609">
        <v>30.542616962</v>
      </c>
      <c r="L74" s="1609">
        <v>3.8178272759999996</v>
      </c>
      <c r="M74" s="1609">
        <v>26.724789686000001</v>
      </c>
    </row>
    <row r="75" spans="1:13" x14ac:dyDescent="0.2">
      <c r="A75" s="1613"/>
      <c r="B75" s="1604"/>
      <c r="C75" s="1614"/>
      <c r="D75" s="1614"/>
      <c r="E75" s="1612" t="s">
        <v>278</v>
      </c>
      <c r="F75" s="1609">
        <v>6.9500060280000016</v>
      </c>
      <c r="G75" s="1609">
        <v>1.029630496</v>
      </c>
      <c r="H75" s="1609">
        <v>5.9203755320000013</v>
      </c>
      <c r="I75" s="1596"/>
      <c r="J75" s="1596"/>
      <c r="K75" s="1609">
        <v>7.9796364520000012</v>
      </c>
      <c r="L75" s="1609">
        <v>1.029630496</v>
      </c>
      <c r="M75" s="1609">
        <v>6.9500059560000009</v>
      </c>
    </row>
    <row r="76" spans="1:13" x14ac:dyDescent="0.2">
      <c r="A76" s="1613"/>
      <c r="B76" s="1604"/>
      <c r="C76" s="1614"/>
      <c r="D76" s="1614"/>
      <c r="E76" s="1612" t="s">
        <v>279</v>
      </c>
      <c r="F76" s="1609">
        <v>10.065971129000003</v>
      </c>
      <c r="G76" s="1609">
        <v>1.4912550280000001</v>
      </c>
      <c r="H76" s="1609">
        <v>8.5747161010000035</v>
      </c>
      <c r="I76" s="1596"/>
      <c r="J76" s="1596"/>
      <c r="K76" s="1609">
        <v>11.557226286000001</v>
      </c>
      <c r="L76" s="1609">
        <v>1.4912550280000001</v>
      </c>
      <c r="M76" s="1609">
        <v>10.065971258000001</v>
      </c>
    </row>
    <row r="77" spans="1:13" x14ac:dyDescent="0.2">
      <c r="A77" s="1613"/>
      <c r="B77" s="1604"/>
      <c r="C77" s="1614"/>
      <c r="D77" s="1614"/>
      <c r="E77" s="1612" t="s">
        <v>280</v>
      </c>
      <c r="F77" s="1609">
        <v>8.5249830000000006</v>
      </c>
      <c r="G77" s="1609">
        <v>0.639373725</v>
      </c>
      <c r="H77" s="1609">
        <v>7.8856092750000002</v>
      </c>
      <c r="I77" s="1596"/>
      <c r="J77" s="1596"/>
      <c r="K77" s="1609">
        <v>0</v>
      </c>
      <c r="L77" s="1609">
        <v>0</v>
      </c>
      <c r="M77" s="1609">
        <v>0</v>
      </c>
    </row>
    <row r="78" spans="1:13" x14ac:dyDescent="0.2">
      <c r="A78" s="1613"/>
      <c r="B78" s="1604"/>
      <c r="C78" s="1614"/>
      <c r="D78" s="1614"/>
      <c r="E78" s="1612" t="s">
        <v>281</v>
      </c>
      <c r="F78" s="1609">
        <v>12.260474997000003</v>
      </c>
      <c r="G78" s="1609">
        <v>1.6911000040000004</v>
      </c>
      <c r="H78" s="1609">
        <v>10.569374993000002</v>
      </c>
      <c r="I78" s="1596"/>
      <c r="J78" s="1596"/>
      <c r="K78" s="1609">
        <v>13.951574998000002</v>
      </c>
      <c r="L78" s="1609">
        <v>1.6911000040000004</v>
      </c>
      <c r="M78" s="1609">
        <v>12.260474994000001</v>
      </c>
    </row>
    <row r="79" spans="1:13" x14ac:dyDescent="0.2">
      <c r="A79" s="1613"/>
      <c r="B79" s="1604"/>
      <c r="C79" s="1614"/>
      <c r="D79" s="1614"/>
      <c r="E79" s="1612" t="s">
        <v>282</v>
      </c>
      <c r="F79" s="1609">
        <v>13.086473608000004</v>
      </c>
      <c r="G79" s="1609">
        <v>1.8694962560000001</v>
      </c>
      <c r="H79" s="1609">
        <v>11.216977352000004</v>
      </c>
      <c r="I79" s="1596"/>
      <c r="J79" s="1596"/>
      <c r="K79" s="1609">
        <v>14.955969972000004</v>
      </c>
      <c r="L79" s="1609">
        <v>1.8694962560000001</v>
      </c>
      <c r="M79" s="1609">
        <v>13.086473716000004</v>
      </c>
    </row>
    <row r="80" spans="1:13" x14ac:dyDescent="0.2">
      <c r="A80" s="1613"/>
      <c r="B80" s="1604"/>
      <c r="C80" s="1614"/>
      <c r="D80" s="1614"/>
      <c r="E80" s="1612" t="s">
        <v>283</v>
      </c>
      <c r="F80" s="1609">
        <v>10.768080404000003</v>
      </c>
      <c r="G80" s="1609">
        <v>1.3569817279999998</v>
      </c>
      <c r="H80" s="1609">
        <v>9.4110986760000035</v>
      </c>
      <c r="I80" s="1596"/>
      <c r="J80" s="1596"/>
      <c r="K80" s="1609">
        <v>11.873590036000001</v>
      </c>
      <c r="L80" s="1609">
        <v>1.3569817279999998</v>
      </c>
      <c r="M80" s="1609">
        <v>10.516608308000002</v>
      </c>
    </row>
    <row r="81" spans="1:13" x14ac:dyDescent="0.2">
      <c r="A81" s="1613"/>
      <c r="B81" s="1604"/>
      <c r="C81" s="1614"/>
      <c r="D81" s="1614"/>
      <c r="E81" s="1612" t="s">
        <v>284</v>
      </c>
      <c r="F81" s="1609">
        <v>9.8213581770000005</v>
      </c>
      <c r="G81" s="1609">
        <v>1.21736128</v>
      </c>
      <c r="H81" s="1609">
        <v>8.603996897</v>
      </c>
      <c r="I81" s="1596"/>
      <c r="J81" s="1596"/>
      <c r="K81" s="1609">
        <v>9.7388898689999994</v>
      </c>
      <c r="L81" s="1609">
        <v>1.21736128</v>
      </c>
      <c r="M81" s="1609">
        <v>8.521528588999999</v>
      </c>
    </row>
    <row r="82" spans="1:13" x14ac:dyDescent="0.2">
      <c r="A82" s="1613"/>
      <c r="B82" s="1604"/>
      <c r="C82" s="1614"/>
      <c r="D82" s="1614"/>
      <c r="E82" s="1612" t="s">
        <v>285</v>
      </c>
      <c r="F82" s="1609">
        <v>23.166284041999997</v>
      </c>
      <c r="G82" s="1609">
        <v>3.5640435439999996</v>
      </c>
      <c r="H82" s="1609">
        <v>19.602240497999997</v>
      </c>
      <c r="I82" s="1596"/>
      <c r="J82" s="1596"/>
      <c r="K82" s="1609">
        <v>26.730327627999998</v>
      </c>
      <c r="L82" s="1609">
        <v>3.5640435439999996</v>
      </c>
      <c r="M82" s="1609">
        <v>23.166284083999997</v>
      </c>
    </row>
    <row r="83" spans="1:13" x14ac:dyDescent="0.2">
      <c r="A83" s="1613"/>
      <c r="B83" s="1604"/>
      <c r="C83" s="1614"/>
      <c r="D83" s="1614"/>
      <c r="E83" s="1612" t="s">
        <v>286</v>
      </c>
      <c r="F83" s="1609">
        <v>3.4272459220000004</v>
      </c>
      <c r="G83" s="1609">
        <v>0.50774010400000003</v>
      </c>
      <c r="H83" s="1609">
        <v>2.9195058180000002</v>
      </c>
      <c r="I83" s="1596"/>
      <c r="J83" s="1596"/>
      <c r="K83" s="1609">
        <v>3.9349859480000005</v>
      </c>
      <c r="L83" s="1609">
        <v>0.50774010400000003</v>
      </c>
      <c r="M83" s="1609">
        <v>3.4272458440000007</v>
      </c>
    </row>
    <row r="84" spans="1:13" x14ac:dyDescent="0.2">
      <c r="A84" s="1613"/>
      <c r="B84" s="1604"/>
      <c r="C84" s="1614"/>
      <c r="D84" s="1614"/>
      <c r="E84" s="1612" t="s">
        <v>287</v>
      </c>
      <c r="F84" s="1609">
        <v>38.509095186000003</v>
      </c>
      <c r="G84" s="1609">
        <v>5.9244761519999996</v>
      </c>
      <c r="H84" s="1609">
        <v>32.584619034000006</v>
      </c>
      <c r="I84" s="1596"/>
      <c r="J84" s="1596"/>
      <c r="K84" s="1609">
        <v>44.433571223999998</v>
      </c>
      <c r="L84" s="1609">
        <v>5.9244761519999996</v>
      </c>
      <c r="M84" s="1609">
        <v>38.509095072000001</v>
      </c>
    </row>
    <row r="85" spans="1:13" x14ac:dyDescent="0.2">
      <c r="A85" s="1613"/>
      <c r="B85" s="1604"/>
      <c r="C85" s="1614"/>
      <c r="D85" s="1614"/>
      <c r="E85" s="1612" t="s">
        <v>288</v>
      </c>
      <c r="F85" s="1609">
        <v>2.8924364000000001E-2</v>
      </c>
      <c r="G85" s="1609">
        <v>4.1320479999999993E-3</v>
      </c>
      <c r="H85" s="1609">
        <v>2.4792316000000002E-2</v>
      </c>
      <c r="I85" s="1596"/>
      <c r="J85" s="1596"/>
      <c r="K85" s="1609">
        <v>3.3056375999999998E-2</v>
      </c>
      <c r="L85" s="1609">
        <v>4.1320479999999993E-3</v>
      </c>
      <c r="M85" s="1609">
        <v>2.8924327999999999E-2</v>
      </c>
    </row>
    <row r="86" spans="1:13" x14ac:dyDescent="0.2">
      <c r="A86" s="1613"/>
      <c r="B86" s="1604"/>
      <c r="C86" s="1614"/>
      <c r="D86" s="1614"/>
      <c r="E86" s="1612" t="s">
        <v>289</v>
      </c>
      <c r="F86" s="1609">
        <v>14.421340975</v>
      </c>
      <c r="G86" s="1609">
        <v>1.9228455</v>
      </c>
      <c r="H86" s="1609">
        <v>12.498495475</v>
      </c>
      <c r="I86" s="1596"/>
      <c r="J86" s="1596"/>
      <c r="K86" s="1609">
        <v>16.34418655</v>
      </c>
      <c r="L86" s="1609">
        <v>1.9228455</v>
      </c>
      <c r="M86" s="1609">
        <v>14.421341050000001</v>
      </c>
    </row>
    <row r="87" spans="1:13" x14ac:dyDescent="0.2">
      <c r="A87" s="1613"/>
      <c r="B87" s="1604"/>
      <c r="C87" s="1614"/>
      <c r="D87" s="1614"/>
      <c r="E87" s="1612" t="s">
        <v>290</v>
      </c>
      <c r="F87" s="1609">
        <v>33.025323351000004</v>
      </c>
      <c r="G87" s="1609">
        <v>5.0808191320000002</v>
      </c>
      <c r="H87" s="1609">
        <v>27.944504219000002</v>
      </c>
      <c r="I87" s="1596"/>
      <c r="J87" s="1596"/>
      <c r="K87" s="1609">
        <v>38.106142534</v>
      </c>
      <c r="L87" s="1609">
        <v>5.0808191320000002</v>
      </c>
      <c r="M87" s="1609">
        <v>33.025323401999998</v>
      </c>
    </row>
    <row r="88" spans="1:13" x14ac:dyDescent="0.2">
      <c r="A88" s="1613"/>
      <c r="B88" s="1604"/>
      <c r="C88" s="1614"/>
      <c r="D88" s="1614"/>
      <c r="E88" s="1612" t="s">
        <v>291</v>
      </c>
      <c r="F88" s="1609">
        <v>6.7761079229999988</v>
      </c>
      <c r="G88" s="1609">
        <v>0.96801543599999995</v>
      </c>
      <c r="H88" s="1609">
        <v>5.8080924869999988</v>
      </c>
      <c r="I88" s="1596"/>
      <c r="J88" s="1596"/>
      <c r="K88" s="1609">
        <v>7.7441234819999991</v>
      </c>
      <c r="L88" s="1609">
        <v>0.96801543599999995</v>
      </c>
      <c r="M88" s="1609">
        <v>6.7761080459999992</v>
      </c>
    </row>
    <row r="89" spans="1:13" x14ac:dyDescent="0.2">
      <c r="A89" s="1613"/>
      <c r="B89" s="1604"/>
      <c r="C89" s="1614"/>
      <c r="D89" s="1614"/>
      <c r="E89" s="1612" t="s">
        <v>292</v>
      </c>
      <c r="F89" s="1609">
        <v>7.9750916520000015</v>
      </c>
      <c r="G89" s="1609">
        <v>1.1392988639999999</v>
      </c>
      <c r="H89" s="1609">
        <v>6.8357927880000018</v>
      </c>
      <c r="I89" s="1596"/>
      <c r="J89" s="1596"/>
      <c r="K89" s="1609">
        <v>9.1143904679999999</v>
      </c>
      <c r="L89" s="1609">
        <v>1.1392988639999999</v>
      </c>
      <c r="M89" s="1609">
        <v>7.9750916040000002</v>
      </c>
    </row>
    <row r="90" spans="1:13" x14ac:dyDescent="0.2">
      <c r="A90" s="1613"/>
      <c r="B90" s="1604"/>
      <c r="C90" s="1614"/>
      <c r="D90" s="1614"/>
      <c r="E90" s="1612" t="s">
        <v>293</v>
      </c>
      <c r="F90" s="1609">
        <v>8.4047898249999999</v>
      </c>
      <c r="G90" s="1609">
        <v>1.1356784559999999</v>
      </c>
      <c r="H90" s="1609">
        <v>7.269111369</v>
      </c>
      <c r="I90" s="1596"/>
      <c r="J90" s="1596"/>
      <c r="K90" s="1609">
        <v>8.5175882719999993</v>
      </c>
      <c r="L90" s="1609">
        <v>1.1356784559999999</v>
      </c>
      <c r="M90" s="1609">
        <v>7.3819098159999994</v>
      </c>
    </row>
    <row r="91" spans="1:13" x14ac:dyDescent="0.2">
      <c r="A91" s="1613"/>
      <c r="B91" s="1604"/>
      <c r="C91" s="1614"/>
      <c r="D91" s="1614"/>
      <c r="E91" s="1612" t="s">
        <v>294</v>
      </c>
      <c r="F91" s="1609">
        <v>10.151325</v>
      </c>
      <c r="G91" s="1609">
        <v>1.5038999999999998</v>
      </c>
      <c r="H91" s="1609">
        <v>8.6474250000000001</v>
      </c>
      <c r="I91" s="1596"/>
      <c r="J91" s="1596"/>
      <c r="K91" s="1609">
        <v>11.655225</v>
      </c>
      <c r="L91" s="1609">
        <v>1.5038999999999998</v>
      </c>
      <c r="M91" s="1609">
        <v>10.151325</v>
      </c>
    </row>
    <row r="92" spans="1:13" x14ac:dyDescent="0.2">
      <c r="A92" s="1613"/>
      <c r="B92" s="1604"/>
      <c r="C92" s="1614"/>
      <c r="D92" s="1614"/>
      <c r="E92" s="1612" t="s">
        <v>295</v>
      </c>
      <c r="F92" s="1609">
        <v>7.2962943139999989</v>
      </c>
      <c r="G92" s="1609">
        <v>1.0809326480000003</v>
      </c>
      <c r="H92" s="1609">
        <v>6.2153616659999988</v>
      </c>
      <c r="I92" s="1596"/>
      <c r="J92" s="1596"/>
      <c r="K92" s="1609">
        <v>8.3772270759999987</v>
      </c>
      <c r="L92" s="1609">
        <v>1.0809326480000003</v>
      </c>
      <c r="M92" s="1609">
        <v>7.2962944279999986</v>
      </c>
    </row>
    <row r="93" spans="1:13" x14ac:dyDescent="0.2">
      <c r="A93" s="1613"/>
      <c r="B93" s="1604"/>
      <c r="C93" s="1614"/>
      <c r="D93" s="1614"/>
      <c r="E93" s="1612" t="s">
        <v>296</v>
      </c>
      <c r="F93" s="1609">
        <v>9.2326403190000015</v>
      </c>
      <c r="G93" s="1609">
        <v>1.3677985079999999</v>
      </c>
      <c r="H93" s="1609">
        <v>7.8648418110000016</v>
      </c>
      <c r="I93" s="1596"/>
      <c r="J93" s="1596"/>
      <c r="K93" s="1609">
        <v>10.600438746</v>
      </c>
      <c r="L93" s="1609">
        <v>1.3677985079999999</v>
      </c>
      <c r="M93" s="1609">
        <v>9.2326402380000001</v>
      </c>
    </row>
    <row r="94" spans="1:13" x14ac:dyDescent="0.2">
      <c r="A94" s="1613"/>
      <c r="B94" s="1604"/>
      <c r="C94" s="1614"/>
      <c r="D94" s="1614"/>
      <c r="E94" s="1612" t="s">
        <v>297</v>
      </c>
      <c r="F94" s="1609">
        <v>11.468321465000001</v>
      </c>
      <c r="G94" s="1609">
        <v>1.6990105800000002</v>
      </c>
      <c r="H94" s="1609">
        <v>9.7693108850000012</v>
      </c>
      <c r="I94" s="1596"/>
      <c r="J94" s="1596"/>
      <c r="K94" s="1609">
        <v>13.167331910000001</v>
      </c>
      <c r="L94" s="1609">
        <v>1.6990105800000002</v>
      </c>
      <c r="M94" s="1609">
        <v>11.468321330000002</v>
      </c>
    </row>
    <row r="95" spans="1:13" x14ac:dyDescent="0.2">
      <c r="A95" s="1613"/>
      <c r="B95" s="1604"/>
      <c r="C95" s="1614"/>
      <c r="D95" s="1614"/>
      <c r="E95" s="1612" t="s">
        <v>298</v>
      </c>
      <c r="F95" s="1609">
        <v>24.002999894000002</v>
      </c>
      <c r="G95" s="1609">
        <v>3.4290000079999996</v>
      </c>
      <c r="H95" s="1609">
        <v>20.573999886000003</v>
      </c>
      <c r="I95" s="1596"/>
      <c r="J95" s="1596"/>
      <c r="K95" s="1609">
        <v>27.431999896000004</v>
      </c>
      <c r="L95" s="1609">
        <v>3.4290000079999996</v>
      </c>
      <c r="M95" s="1609">
        <v>24.002999888000005</v>
      </c>
    </row>
    <row r="96" spans="1:13" x14ac:dyDescent="0.2">
      <c r="A96" s="1613"/>
      <c r="B96" s="1604"/>
      <c r="C96" s="1614"/>
      <c r="D96" s="1614"/>
      <c r="E96" s="1612" t="s">
        <v>299</v>
      </c>
      <c r="F96" s="1609">
        <v>7.6642182600000011</v>
      </c>
      <c r="G96" s="1609">
        <v>1.0948883200000001</v>
      </c>
      <c r="H96" s="1609">
        <v>6.5693299400000011</v>
      </c>
      <c r="I96" s="1596"/>
      <c r="J96" s="1596"/>
      <c r="K96" s="1609">
        <v>8.7591066400000006</v>
      </c>
      <c r="L96" s="1609">
        <v>1.0948883200000001</v>
      </c>
      <c r="M96" s="1609">
        <v>7.6642183200000007</v>
      </c>
    </row>
    <row r="97" spans="1:13" x14ac:dyDescent="0.2">
      <c r="A97" s="1613"/>
      <c r="B97" s="1604"/>
      <c r="C97" s="1614"/>
      <c r="D97" s="1614"/>
      <c r="E97" s="1612" t="s">
        <v>300</v>
      </c>
      <c r="F97" s="1609">
        <v>6.3271706629999978</v>
      </c>
      <c r="G97" s="1609">
        <v>0.903881516</v>
      </c>
      <c r="H97" s="1609">
        <v>5.4232891469999975</v>
      </c>
      <c r="I97" s="1596"/>
      <c r="J97" s="1596"/>
      <c r="K97" s="1609">
        <v>7.2310522419999987</v>
      </c>
      <c r="L97" s="1609">
        <v>0.903881516</v>
      </c>
      <c r="M97" s="1609">
        <v>6.3271707259999985</v>
      </c>
    </row>
    <row r="98" spans="1:13" x14ac:dyDescent="0.2">
      <c r="A98" s="1613"/>
      <c r="B98" s="1604"/>
      <c r="C98" s="1614"/>
      <c r="D98" s="1614"/>
      <c r="E98" s="1612" t="s">
        <v>301</v>
      </c>
      <c r="F98" s="1609">
        <v>13.266751065999999</v>
      </c>
      <c r="G98" s="1609">
        <v>1.9654447119999998</v>
      </c>
      <c r="H98" s="1609">
        <v>11.301306353999999</v>
      </c>
      <c r="I98" s="1596"/>
      <c r="J98" s="1596"/>
      <c r="K98" s="1609">
        <v>15.232195844</v>
      </c>
      <c r="L98" s="1609">
        <v>1.9654447119999998</v>
      </c>
      <c r="M98" s="1609">
        <v>13.266751132</v>
      </c>
    </row>
    <row r="99" spans="1:13" x14ac:dyDescent="0.2">
      <c r="A99" s="1613"/>
      <c r="B99" s="1604"/>
      <c r="C99" s="1614"/>
      <c r="D99" s="1614"/>
      <c r="E99" s="1612" t="s">
        <v>302</v>
      </c>
      <c r="F99" s="1609">
        <v>14.327324900000001</v>
      </c>
      <c r="G99" s="1609">
        <v>0.83576061916666677</v>
      </c>
      <c r="H99" s="1609">
        <v>13.491564280833334</v>
      </c>
      <c r="I99" s="1596"/>
      <c r="J99" s="1596"/>
      <c r="K99" s="1609">
        <v>15.489000000000001</v>
      </c>
      <c r="L99" s="1609">
        <v>0</v>
      </c>
      <c r="M99" s="1609">
        <v>15.489000000000001</v>
      </c>
    </row>
    <row r="100" spans="1:13" x14ac:dyDescent="0.2">
      <c r="A100" s="1613"/>
      <c r="B100" s="1604"/>
      <c r="C100" s="1614"/>
      <c r="D100" s="1614"/>
      <c r="E100" s="1612" t="s">
        <v>303</v>
      </c>
      <c r="F100" s="1609">
        <v>2.0115056510000007</v>
      </c>
      <c r="G100" s="1609">
        <v>0.30946233200000001</v>
      </c>
      <c r="H100" s="1609">
        <v>1.7020433190000006</v>
      </c>
      <c r="I100" s="1596"/>
      <c r="J100" s="1596"/>
      <c r="K100" s="1609">
        <v>2.3209680340000003</v>
      </c>
      <c r="L100" s="1609">
        <v>0.30946233200000001</v>
      </c>
      <c r="M100" s="1609">
        <v>2.0115057020000005</v>
      </c>
    </row>
    <row r="101" spans="1:13" x14ac:dyDescent="0.2">
      <c r="A101" s="1613"/>
      <c r="B101" s="1604"/>
      <c r="C101" s="1614"/>
      <c r="D101" s="1614"/>
      <c r="E101" s="1612" t="s">
        <v>304</v>
      </c>
      <c r="F101" s="1609">
        <v>13.9640583</v>
      </c>
      <c r="G101" s="1609">
        <v>0.1163671525</v>
      </c>
      <c r="H101" s="1609">
        <v>13.847691147499999</v>
      </c>
      <c r="I101" s="1596"/>
      <c r="J101" s="1596"/>
      <c r="K101" s="1609">
        <v>14.0814033</v>
      </c>
      <c r="L101" s="1609">
        <v>0.1173450275</v>
      </c>
      <c r="M101" s="1609">
        <v>13.964058272499999</v>
      </c>
    </row>
    <row r="102" spans="1:13" x14ac:dyDescent="0.2">
      <c r="A102" s="1613"/>
      <c r="B102" s="1604"/>
      <c r="C102" s="1614"/>
      <c r="D102" s="1614"/>
      <c r="E102" s="1612" t="s">
        <v>305</v>
      </c>
      <c r="F102" s="1609">
        <v>100.16412423299997</v>
      </c>
      <c r="G102" s="1609">
        <v>13.815741556000006</v>
      </c>
      <c r="H102" s="1609">
        <v>86.348382676999961</v>
      </c>
      <c r="I102" s="1596"/>
      <c r="J102" s="1596"/>
      <c r="K102" s="1609">
        <v>113.97986582199998</v>
      </c>
      <c r="L102" s="1609">
        <v>13.815741556000006</v>
      </c>
      <c r="M102" s="1609">
        <v>100.16412426599997</v>
      </c>
    </row>
    <row r="103" spans="1:13" x14ac:dyDescent="0.2">
      <c r="A103" s="1613"/>
      <c r="B103" s="1604"/>
      <c r="C103" s="1614"/>
      <c r="D103" s="1614"/>
      <c r="E103" s="1612" t="s">
        <v>306</v>
      </c>
      <c r="F103" s="1609">
        <v>16.857282652000002</v>
      </c>
      <c r="G103" s="1609">
        <v>2.3251424640000002</v>
      </c>
      <c r="H103" s="1609">
        <v>14.532140188000001</v>
      </c>
      <c r="I103" s="1596"/>
      <c r="J103" s="1596"/>
      <c r="K103" s="1609">
        <v>19.182425068000001</v>
      </c>
      <c r="L103" s="1609">
        <v>2.3251424640000002</v>
      </c>
      <c r="M103" s="1609">
        <v>16.857282604000002</v>
      </c>
    </row>
    <row r="104" spans="1:13" x14ac:dyDescent="0.2">
      <c r="A104" s="1613"/>
      <c r="B104" s="1604"/>
      <c r="C104" s="1614"/>
      <c r="D104" s="1614"/>
      <c r="E104" s="1612" t="s">
        <v>307</v>
      </c>
      <c r="F104" s="1609">
        <v>7.7380811299999985</v>
      </c>
      <c r="G104" s="1609">
        <v>1.0673215599999999</v>
      </c>
      <c r="H104" s="1609">
        <v>6.6707595699999986</v>
      </c>
      <c r="I104" s="1596"/>
      <c r="J104" s="1596"/>
      <c r="K104" s="1609">
        <v>8.8054027199999982</v>
      </c>
      <c r="L104" s="1609">
        <v>1.0673215599999999</v>
      </c>
      <c r="M104" s="1609">
        <v>7.7380811599999983</v>
      </c>
    </row>
    <row r="105" spans="1:13" x14ac:dyDescent="0.2">
      <c r="A105" s="1613"/>
      <c r="B105" s="1604"/>
      <c r="C105" s="1614"/>
      <c r="D105" s="1614"/>
      <c r="E105" s="1612" t="s">
        <v>308</v>
      </c>
      <c r="F105" s="1609">
        <v>9.2294084110000014</v>
      </c>
      <c r="G105" s="1609">
        <v>1.1908914520000002</v>
      </c>
      <c r="H105" s="1609">
        <v>8.0385169590000007</v>
      </c>
      <c r="I105" s="1596"/>
      <c r="J105" s="1596"/>
      <c r="K105" s="1609">
        <v>10.420299974000001</v>
      </c>
      <c r="L105" s="1609">
        <v>1.1908914520000002</v>
      </c>
      <c r="M105" s="1609">
        <v>9.2294085219999999</v>
      </c>
    </row>
    <row r="106" spans="1:13" x14ac:dyDescent="0.2">
      <c r="A106" s="1613"/>
      <c r="B106" s="1604"/>
      <c r="C106" s="1614"/>
      <c r="D106" s="1614"/>
      <c r="E106" s="1612" t="s">
        <v>309</v>
      </c>
      <c r="F106" s="1609">
        <v>8.3996668999999997</v>
      </c>
      <c r="G106" s="1609">
        <v>0.48998056916666666</v>
      </c>
      <c r="H106" s="1609">
        <v>7.9096863308333329</v>
      </c>
      <c r="I106" s="1596"/>
      <c r="J106" s="1596"/>
      <c r="K106" s="1609">
        <v>8.92</v>
      </c>
      <c r="L106" s="1609">
        <v>0.52033333333333331</v>
      </c>
      <c r="M106" s="1609">
        <v>8.3996666666666666</v>
      </c>
    </row>
    <row r="107" spans="1:13" x14ac:dyDescent="0.2">
      <c r="A107" s="1613"/>
      <c r="B107" s="1604"/>
      <c r="C107" s="1614"/>
      <c r="D107" s="1614"/>
      <c r="E107" s="1612" t="s">
        <v>310</v>
      </c>
      <c r="F107" s="1609">
        <v>6.8404682549999984</v>
      </c>
      <c r="G107" s="1609">
        <v>0.94351286000000001</v>
      </c>
      <c r="H107" s="1609">
        <v>5.8969553949999982</v>
      </c>
      <c r="I107" s="1596"/>
      <c r="J107" s="1596"/>
      <c r="K107" s="1609">
        <v>7.7839810699999985</v>
      </c>
      <c r="L107" s="1609">
        <v>0.94351286000000001</v>
      </c>
      <c r="M107" s="1609">
        <v>6.8404682099999983</v>
      </c>
    </row>
    <row r="108" spans="1:13" x14ac:dyDescent="0.2">
      <c r="A108" s="1613"/>
      <c r="B108" s="1604"/>
      <c r="C108" s="1614"/>
      <c r="D108" s="1614"/>
      <c r="E108" s="1612" t="s">
        <v>311</v>
      </c>
      <c r="F108" s="1609">
        <v>8.9098401819999999</v>
      </c>
      <c r="G108" s="1609">
        <v>1.1137300240000001</v>
      </c>
      <c r="H108" s="1609">
        <v>7.7961101579999994</v>
      </c>
      <c r="I108" s="1596"/>
      <c r="J108" s="1596"/>
      <c r="K108" s="1609">
        <v>10.023570187999999</v>
      </c>
      <c r="L108" s="1609">
        <v>1.1137300240000001</v>
      </c>
      <c r="M108" s="1609">
        <v>8.9098401639999985</v>
      </c>
    </row>
    <row r="109" spans="1:13" x14ac:dyDescent="0.2">
      <c r="A109" s="1613"/>
      <c r="B109" s="1604"/>
      <c r="C109" s="1614"/>
      <c r="D109" s="1614"/>
      <c r="E109" s="1612" t="s">
        <v>312</v>
      </c>
      <c r="F109" s="1609">
        <v>10.065436234</v>
      </c>
      <c r="G109" s="1609">
        <v>1.3883360880000002</v>
      </c>
      <c r="H109" s="1609">
        <v>8.677100145999999</v>
      </c>
      <c r="I109" s="1596"/>
      <c r="J109" s="1596"/>
      <c r="K109" s="1609">
        <v>11.453772256000001</v>
      </c>
      <c r="L109" s="1609">
        <v>1.3883360880000002</v>
      </c>
      <c r="M109" s="1609">
        <v>10.065436168</v>
      </c>
    </row>
    <row r="110" spans="1:13" x14ac:dyDescent="0.2">
      <c r="A110" s="1613"/>
      <c r="B110" s="1604"/>
      <c r="C110" s="1614"/>
      <c r="D110" s="1614"/>
      <c r="E110" s="1612" t="s">
        <v>313</v>
      </c>
      <c r="F110" s="1609">
        <v>11.727524037</v>
      </c>
      <c r="G110" s="1609">
        <v>1.5132288839999999</v>
      </c>
      <c r="H110" s="1609">
        <v>10.214295153</v>
      </c>
      <c r="I110" s="1596"/>
      <c r="J110" s="1596"/>
      <c r="K110" s="1609">
        <v>13.240752858</v>
      </c>
      <c r="L110" s="1609">
        <v>1.5132288839999999</v>
      </c>
      <c r="M110" s="1609">
        <v>11.727523974</v>
      </c>
    </row>
    <row r="111" spans="1:13" x14ac:dyDescent="0.2">
      <c r="A111" s="1613"/>
      <c r="B111" s="1604"/>
      <c r="C111" s="1614"/>
      <c r="D111" s="1614"/>
      <c r="E111" s="1612" t="s">
        <v>314</v>
      </c>
      <c r="F111" s="1609">
        <v>8.183585579999999</v>
      </c>
      <c r="G111" s="1609">
        <v>1.1287705600000002</v>
      </c>
      <c r="H111" s="1609">
        <v>7.0548150199999986</v>
      </c>
      <c r="I111" s="1596"/>
      <c r="J111" s="1596"/>
      <c r="K111" s="1609">
        <v>9.3123560199999993</v>
      </c>
      <c r="L111" s="1609">
        <v>1.1287705600000002</v>
      </c>
      <c r="M111" s="1609">
        <v>8.1835854599999998</v>
      </c>
    </row>
    <row r="112" spans="1:13" x14ac:dyDescent="0.2">
      <c r="A112" s="1613"/>
      <c r="B112" s="1604"/>
      <c r="C112" s="1614"/>
      <c r="D112" s="1614"/>
      <c r="E112" s="1612" t="s">
        <v>315</v>
      </c>
      <c r="F112" s="1609">
        <v>37.247599994000005</v>
      </c>
      <c r="G112" s="1609">
        <v>5.1376000079999997</v>
      </c>
      <c r="H112" s="1609">
        <v>32.109999986000005</v>
      </c>
      <c r="I112" s="1596"/>
      <c r="J112" s="1596"/>
      <c r="K112" s="1609">
        <v>42.385199996000004</v>
      </c>
      <c r="L112" s="1609">
        <v>5.1376000079999997</v>
      </c>
      <c r="M112" s="1609">
        <v>37.247599988000005</v>
      </c>
    </row>
    <row r="113" spans="1:13" x14ac:dyDescent="0.2">
      <c r="A113" s="1613"/>
      <c r="B113" s="1604"/>
      <c r="C113" s="1614"/>
      <c r="D113" s="1614"/>
      <c r="E113" s="1612" t="s">
        <v>316</v>
      </c>
      <c r="F113" s="1609">
        <v>9.3152206409999998</v>
      </c>
      <c r="G113" s="1609">
        <v>1.1644026120000002</v>
      </c>
      <c r="H113" s="1609">
        <v>8.1508180289999999</v>
      </c>
      <c r="I113" s="1596"/>
      <c r="J113" s="1596"/>
      <c r="K113" s="1609">
        <v>10.479623393999999</v>
      </c>
      <c r="L113" s="1609">
        <v>1.1644026120000002</v>
      </c>
      <c r="M113" s="1609">
        <v>9.315220781999999</v>
      </c>
    </row>
    <row r="114" spans="1:13" x14ac:dyDescent="0.2">
      <c r="A114" s="1613"/>
      <c r="B114" s="1604"/>
      <c r="C114" s="1614"/>
      <c r="D114" s="1614"/>
      <c r="E114" s="1612" t="s">
        <v>317</v>
      </c>
      <c r="F114" s="1609">
        <v>9.3045580469999987</v>
      </c>
      <c r="G114" s="1609">
        <v>1.163069804</v>
      </c>
      <c r="H114" s="1609">
        <v>8.1414882429999977</v>
      </c>
      <c r="I114" s="1596"/>
      <c r="J114" s="1596"/>
      <c r="K114" s="1609">
        <v>10.467627997999999</v>
      </c>
      <c r="L114" s="1609">
        <v>1.163069804</v>
      </c>
      <c r="M114" s="1609">
        <v>9.3045581939999984</v>
      </c>
    </row>
    <row r="115" spans="1:13" x14ac:dyDescent="0.2">
      <c r="A115" s="1613"/>
      <c r="B115" s="1604"/>
      <c r="C115" s="1614"/>
      <c r="D115" s="1614"/>
      <c r="E115" s="1612" t="s">
        <v>318</v>
      </c>
      <c r="F115" s="1609">
        <v>6.2697906999999997</v>
      </c>
      <c r="G115" s="1609">
        <v>0.47023430249999998</v>
      </c>
      <c r="H115" s="1609">
        <v>5.7995563975</v>
      </c>
      <c r="I115" s="1596"/>
      <c r="J115" s="1596"/>
      <c r="K115" s="1609">
        <v>6.2697906999999997</v>
      </c>
      <c r="L115" s="1609">
        <v>0</v>
      </c>
      <c r="M115" s="1609">
        <v>6.2697906999999997</v>
      </c>
    </row>
    <row r="116" spans="1:13" x14ac:dyDescent="0.2">
      <c r="A116" s="1613"/>
      <c r="B116" s="1604"/>
      <c r="C116" s="1614"/>
      <c r="D116" s="1614"/>
      <c r="E116" s="1612" t="s">
        <v>319</v>
      </c>
      <c r="F116" s="1609">
        <v>16.283950000000001</v>
      </c>
      <c r="G116" s="1609">
        <v>0.81419750000000002</v>
      </c>
      <c r="H116" s="1609">
        <v>15.4697525</v>
      </c>
      <c r="I116" s="1596"/>
      <c r="J116" s="1596"/>
      <c r="K116" s="1609">
        <v>0</v>
      </c>
      <c r="L116" s="1609">
        <v>0</v>
      </c>
      <c r="M116" s="1609">
        <v>0</v>
      </c>
    </row>
    <row r="117" spans="1:13" x14ac:dyDescent="0.2">
      <c r="A117" s="1613"/>
      <c r="B117" s="1604"/>
      <c r="C117" s="1614"/>
      <c r="D117" s="1614"/>
      <c r="E117" s="1612" t="s">
        <v>320</v>
      </c>
      <c r="F117" s="1609">
        <v>7.4759999940000013</v>
      </c>
      <c r="G117" s="1609">
        <v>0.99680000800000002</v>
      </c>
      <c r="H117" s="1609">
        <v>6.4791999860000011</v>
      </c>
      <c r="I117" s="1596"/>
      <c r="J117" s="1596"/>
      <c r="K117" s="1609">
        <v>8.4727999960000009</v>
      </c>
      <c r="L117" s="1609">
        <v>0.99680000800000002</v>
      </c>
      <c r="M117" s="1609">
        <v>7.4759999880000008</v>
      </c>
    </row>
    <row r="118" spans="1:13" x14ac:dyDescent="0.2">
      <c r="A118" s="1613"/>
      <c r="B118" s="1604"/>
      <c r="C118" s="1614"/>
      <c r="D118" s="1614"/>
      <c r="E118" s="1612" t="s">
        <v>321</v>
      </c>
      <c r="F118" s="1609">
        <v>12.222555074000002</v>
      </c>
      <c r="G118" s="1609">
        <v>1.5278193680000001</v>
      </c>
      <c r="H118" s="1609">
        <v>10.694735706000003</v>
      </c>
      <c r="I118" s="1596"/>
      <c r="J118" s="1596"/>
      <c r="K118" s="1609">
        <v>13.750374316000002</v>
      </c>
      <c r="L118" s="1609">
        <v>1.5278193680000001</v>
      </c>
      <c r="M118" s="1609">
        <v>12.222554948000003</v>
      </c>
    </row>
    <row r="119" spans="1:13" x14ac:dyDescent="0.2">
      <c r="A119" s="1613"/>
      <c r="B119" s="1604"/>
      <c r="C119" s="1614"/>
      <c r="D119" s="1614"/>
      <c r="E119" s="1612" t="s">
        <v>322</v>
      </c>
      <c r="F119" s="1609">
        <v>3.7926575999999997E-2</v>
      </c>
      <c r="G119" s="1609">
        <v>5.2312319999999997E-3</v>
      </c>
      <c r="H119" s="1609">
        <v>3.2695343999999994E-2</v>
      </c>
      <c r="I119" s="1596"/>
      <c r="J119" s="1596"/>
      <c r="K119" s="1609">
        <v>4.3157783999999998E-2</v>
      </c>
      <c r="L119" s="1609">
        <v>5.2312319999999997E-3</v>
      </c>
      <c r="M119" s="1609">
        <v>3.7926551999999995E-2</v>
      </c>
    </row>
    <row r="120" spans="1:13" x14ac:dyDescent="0.2">
      <c r="A120" s="1613"/>
      <c r="B120" s="1604"/>
      <c r="C120" s="1614"/>
      <c r="D120" s="1614"/>
      <c r="E120" s="1612" t="s">
        <v>323</v>
      </c>
      <c r="F120" s="1609">
        <v>7.1223995909999998</v>
      </c>
      <c r="G120" s="1609">
        <v>0.98240001200000027</v>
      </c>
      <c r="H120" s="1609">
        <v>6.1399995789999995</v>
      </c>
      <c r="I120" s="1596"/>
      <c r="J120" s="1596"/>
      <c r="K120" s="1609">
        <v>8.1047995939999993</v>
      </c>
      <c r="L120" s="1609">
        <v>0.98240001200000027</v>
      </c>
      <c r="M120" s="1609">
        <v>7.122399581999999</v>
      </c>
    </row>
    <row r="121" spans="1:13" x14ac:dyDescent="0.2">
      <c r="A121" s="1613"/>
      <c r="B121" s="1604"/>
      <c r="C121" s="1614"/>
      <c r="D121" s="1614"/>
      <c r="E121" s="1612" t="s">
        <v>324</v>
      </c>
      <c r="F121" s="1609">
        <v>19.801876118999996</v>
      </c>
      <c r="G121" s="1609">
        <v>2.4752345079999998</v>
      </c>
      <c r="H121" s="1609">
        <v>17.326641610999996</v>
      </c>
      <c r="I121" s="1596"/>
      <c r="J121" s="1596"/>
      <c r="K121" s="1609">
        <v>22.277110545999999</v>
      </c>
      <c r="L121" s="1609">
        <v>2.4752345079999998</v>
      </c>
      <c r="M121" s="1609">
        <v>19.801876038</v>
      </c>
    </row>
    <row r="122" spans="1:13" x14ac:dyDescent="0.2">
      <c r="A122" s="1613"/>
      <c r="B122" s="1604"/>
      <c r="C122" s="1614"/>
      <c r="D122" s="1614"/>
      <c r="E122" s="1612" t="s">
        <v>325</v>
      </c>
      <c r="F122" s="1609">
        <v>8.3018000000000001</v>
      </c>
      <c r="G122" s="1609">
        <v>1.0711999999999999</v>
      </c>
      <c r="H122" s="1609">
        <v>7.2305999999999999</v>
      </c>
      <c r="I122" s="1596"/>
      <c r="J122" s="1596"/>
      <c r="K122" s="1609">
        <v>9.3729999999999993</v>
      </c>
      <c r="L122" s="1609">
        <v>1.0711999999999999</v>
      </c>
      <c r="M122" s="1609">
        <v>8.3018000000000001</v>
      </c>
    </row>
    <row r="123" spans="1:13" x14ac:dyDescent="0.2">
      <c r="A123" s="1613"/>
      <c r="B123" s="1604"/>
      <c r="C123" s="1614"/>
      <c r="D123" s="1614"/>
      <c r="E123" s="1612" t="s">
        <v>326</v>
      </c>
      <c r="F123" s="1609">
        <v>6.7799999969999982</v>
      </c>
      <c r="G123" s="1609">
        <v>0.90400000400000013</v>
      </c>
      <c r="H123" s="1609">
        <v>5.875999992999998</v>
      </c>
      <c r="I123" s="1596"/>
      <c r="J123" s="1596"/>
      <c r="K123" s="1609">
        <v>7.6839999979999991</v>
      </c>
      <c r="L123" s="1609">
        <v>0.90400000400000013</v>
      </c>
      <c r="M123" s="1609">
        <v>6.7799999939999989</v>
      </c>
    </row>
    <row r="124" spans="1:13" x14ac:dyDescent="0.2">
      <c r="A124" s="1613"/>
      <c r="B124" s="1604"/>
      <c r="C124" s="1614"/>
      <c r="D124" s="1614"/>
      <c r="E124" s="1612" t="s">
        <v>327</v>
      </c>
      <c r="F124" s="1609">
        <v>6.3944997969999982</v>
      </c>
      <c r="G124" s="1609">
        <v>0.88200000399999989</v>
      </c>
      <c r="H124" s="1609">
        <v>5.5124997929999981</v>
      </c>
      <c r="I124" s="1596"/>
      <c r="J124" s="1596"/>
      <c r="K124" s="1609">
        <v>7.2764997979999988</v>
      </c>
      <c r="L124" s="1609">
        <v>0.88200000399999989</v>
      </c>
      <c r="M124" s="1609">
        <v>6.3944997939999988</v>
      </c>
    </row>
    <row r="125" spans="1:13" x14ac:dyDescent="0.2">
      <c r="A125" s="1613"/>
      <c r="B125" s="1604"/>
      <c r="C125" s="1614"/>
      <c r="D125" s="1614"/>
      <c r="E125" s="1612" t="s">
        <v>328</v>
      </c>
      <c r="F125" s="1609">
        <v>19.759889661999999</v>
      </c>
      <c r="G125" s="1609">
        <v>2.4699862600000007</v>
      </c>
      <c r="H125" s="1609">
        <v>17.289903402</v>
      </c>
      <c r="I125" s="1596"/>
      <c r="J125" s="1596"/>
      <c r="K125" s="1609">
        <v>22.229876027</v>
      </c>
      <c r="L125" s="1609">
        <v>2.4699862600000007</v>
      </c>
      <c r="M125" s="1609">
        <v>19.759889766999997</v>
      </c>
    </row>
    <row r="126" spans="1:13" x14ac:dyDescent="0.2">
      <c r="A126" s="1613"/>
      <c r="B126" s="1604"/>
      <c r="C126" s="1614"/>
      <c r="D126" s="1614"/>
      <c r="E126" s="1612" t="s">
        <v>329</v>
      </c>
      <c r="F126" s="1609">
        <v>10.7584</v>
      </c>
      <c r="G126" s="1609">
        <v>1.3448</v>
      </c>
      <c r="H126" s="1609">
        <v>9.4136000000000006</v>
      </c>
      <c r="I126" s="1596"/>
      <c r="J126" s="1596"/>
      <c r="K126" s="1609">
        <v>12.103199999999999</v>
      </c>
      <c r="L126" s="1609">
        <v>1.3448</v>
      </c>
      <c r="M126" s="1609">
        <v>10.7584</v>
      </c>
    </row>
    <row r="127" spans="1:13" x14ac:dyDescent="0.2">
      <c r="A127" s="1613"/>
      <c r="B127" s="1604"/>
      <c r="C127" s="1614"/>
      <c r="D127" s="1614"/>
      <c r="E127" s="1612" t="s">
        <v>330</v>
      </c>
      <c r="F127" s="1609">
        <v>10.795225472</v>
      </c>
      <c r="G127" s="1609">
        <v>1.233740056</v>
      </c>
      <c r="H127" s="1609">
        <v>9.561485416</v>
      </c>
      <c r="I127" s="1596"/>
      <c r="J127" s="1596"/>
      <c r="K127" s="1609">
        <v>12.028965486000001</v>
      </c>
      <c r="L127" s="1609">
        <v>1.233740056</v>
      </c>
      <c r="M127" s="1609">
        <v>10.79522543</v>
      </c>
    </row>
    <row r="128" spans="1:13" x14ac:dyDescent="0.2">
      <c r="A128" s="1613"/>
      <c r="B128" s="1604"/>
      <c r="C128" s="1614"/>
      <c r="D128" s="1614"/>
      <c r="E128" s="1612" t="s">
        <v>331</v>
      </c>
      <c r="F128" s="1609">
        <v>65.932272401000006</v>
      </c>
      <c r="G128" s="1609">
        <v>7.5721074240000004</v>
      </c>
      <c r="H128" s="1609">
        <v>58.360164977000004</v>
      </c>
      <c r="I128" s="1596"/>
      <c r="J128" s="1596"/>
      <c r="K128" s="1609">
        <v>68.148966704999992</v>
      </c>
      <c r="L128" s="1609">
        <v>7.5721074240000004</v>
      </c>
      <c r="M128" s="1609">
        <v>60.57685928099999</v>
      </c>
    </row>
    <row r="129" spans="1:13" x14ac:dyDescent="0.2">
      <c r="A129" s="1613"/>
      <c r="B129" s="1604"/>
      <c r="C129" s="1614"/>
      <c r="D129" s="1614"/>
      <c r="E129" s="1612" t="s">
        <v>332</v>
      </c>
      <c r="F129" s="1609">
        <v>12.434544713000003</v>
      </c>
      <c r="G129" s="1609">
        <v>1.5543181159999999</v>
      </c>
      <c r="H129" s="1609">
        <v>10.880226597000004</v>
      </c>
      <c r="I129" s="1596"/>
      <c r="J129" s="1596"/>
      <c r="K129" s="1609">
        <v>13.988862742000002</v>
      </c>
      <c r="L129" s="1609">
        <v>1.5543181159999999</v>
      </c>
      <c r="M129" s="1609">
        <v>12.434544626000003</v>
      </c>
    </row>
    <row r="130" spans="1:13" x14ac:dyDescent="0.2">
      <c r="A130" s="1613"/>
      <c r="B130" s="1604"/>
      <c r="C130" s="1614"/>
      <c r="D130" s="1614"/>
      <c r="E130" s="1612" t="s">
        <v>333</v>
      </c>
      <c r="F130" s="1609">
        <v>7.3727999940000011</v>
      </c>
      <c r="G130" s="1609">
        <v>0.92160000799999997</v>
      </c>
      <c r="H130" s="1609">
        <v>6.4511999860000007</v>
      </c>
      <c r="I130" s="1596"/>
      <c r="J130" s="1596"/>
      <c r="K130" s="1609">
        <v>8.294399996000001</v>
      </c>
      <c r="L130" s="1609">
        <v>0.92160000799999997</v>
      </c>
      <c r="M130" s="1609">
        <v>7.3727999880000006</v>
      </c>
    </row>
    <row r="131" spans="1:13" x14ac:dyDescent="0.2">
      <c r="A131" s="1613"/>
      <c r="B131" s="1604"/>
      <c r="C131" s="1614"/>
      <c r="D131" s="1614"/>
      <c r="E131" s="1612" t="s">
        <v>334</v>
      </c>
      <c r="F131" s="1609">
        <v>6.2581366679999988</v>
      </c>
      <c r="G131" s="1609">
        <v>0.78226712399999998</v>
      </c>
      <c r="H131" s="1609">
        <v>5.4758695439999991</v>
      </c>
      <c r="I131" s="1596"/>
      <c r="J131" s="1596"/>
      <c r="K131" s="1609">
        <v>7.0404038489999996</v>
      </c>
      <c r="L131" s="1609">
        <v>0.78226712399999998</v>
      </c>
      <c r="M131" s="1609">
        <v>6.258136725</v>
      </c>
    </row>
    <row r="132" spans="1:13" x14ac:dyDescent="0.2">
      <c r="A132" s="1613"/>
      <c r="B132" s="1604"/>
      <c r="C132" s="1614"/>
      <c r="D132" s="1614"/>
      <c r="E132" s="1612" t="s">
        <v>335</v>
      </c>
      <c r="F132" s="1609">
        <v>7.4143799510000008</v>
      </c>
      <c r="G132" s="1609">
        <v>0.89871273200000001</v>
      </c>
      <c r="H132" s="1609">
        <v>6.5156672190000009</v>
      </c>
      <c r="I132" s="1596"/>
      <c r="J132" s="1596"/>
      <c r="K132" s="1609">
        <v>8.3130927339999996</v>
      </c>
      <c r="L132" s="1609">
        <v>0.89871273200000001</v>
      </c>
      <c r="M132" s="1609">
        <v>7.4143800019999997</v>
      </c>
    </row>
    <row r="133" spans="1:13" x14ac:dyDescent="0.2">
      <c r="A133" s="1613"/>
      <c r="B133" s="1604"/>
      <c r="C133" s="1614"/>
      <c r="D133" s="1614"/>
      <c r="E133" s="1612" t="s">
        <v>336</v>
      </c>
      <c r="F133" s="1609">
        <v>15.3576</v>
      </c>
      <c r="G133" s="1609">
        <v>1.1518200000000001</v>
      </c>
      <c r="H133" s="1609">
        <v>14.205779999999999</v>
      </c>
      <c r="I133" s="1596"/>
      <c r="J133" s="1596"/>
      <c r="K133" s="1609">
        <v>15.3576</v>
      </c>
      <c r="L133" s="1609">
        <v>0</v>
      </c>
      <c r="M133" s="1609">
        <v>15.3576</v>
      </c>
    </row>
    <row r="134" spans="1:13" x14ac:dyDescent="0.2">
      <c r="A134" s="1613"/>
      <c r="B134" s="1604"/>
      <c r="C134" s="1614"/>
      <c r="D134" s="1614"/>
      <c r="E134" s="1612" t="s">
        <v>337</v>
      </c>
      <c r="F134" s="1609">
        <v>13.3927598</v>
      </c>
      <c r="G134" s="1609">
        <v>0.44642532666666668</v>
      </c>
      <c r="H134" s="1609">
        <v>12.946334473333334</v>
      </c>
      <c r="I134" s="1596"/>
      <c r="J134" s="1596"/>
      <c r="K134" s="1609">
        <v>12.3050538</v>
      </c>
      <c r="L134" s="1609">
        <v>0.41016846000000001</v>
      </c>
      <c r="M134" s="1609">
        <v>11.89488534</v>
      </c>
    </row>
    <row r="135" spans="1:13" x14ac:dyDescent="0.2">
      <c r="A135" s="1613"/>
      <c r="B135" s="1604"/>
      <c r="C135" s="1614"/>
      <c r="D135" s="1614"/>
      <c r="E135" s="1612" t="s">
        <v>338</v>
      </c>
      <c r="F135" s="1609">
        <v>7.420248</v>
      </c>
      <c r="G135" s="1609">
        <v>0</v>
      </c>
      <c r="H135" s="1609">
        <v>7.420248</v>
      </c>
      <c r="I135" s="1596"/>
      <c r="J135" s="1596"/>
      <c r="K135" s="1609">
        <v>7.420248</v>
      </c>
      <c r="L135" s="1609">
        <v>0</v>
      </c>
      <c r="M135" s="1609">
        <v>7.420248</v>
      </c>
    </row>
    <row r="136" spans="1:13" x14ac:dyDescent="0.2">
      <c r="A136" s="1613"/>
      <c r="B136" s="1604"/>
      <c r="C136" s="1614"/>
      <c r="D136" s="1614"/>
      <c r="E136" s="1612" t="s">
        <v>339</v>
      </c>
      <c r="F136" s="1609">
        <v>9.0713527020000004</v>
      </c>
      <c r="G136" s="1609">
        <v>0.79485861199999996</v>
      </c>
      <c r="H136" s="1609">
        <v>8.2764940899999999</v>
      </c>
      <c r="I136" s="1596"/>
      <c r="J136" s="1596"/>
      <c r="K136" s="1609">
        <v>7.5511567939999997</v>
      </c>
      <c r="L136" s="1609">
        <v>0.79485861199999996</v>
      </c>
      <c r="M136" s="1609">
        <v>6.7562981820000001</v>
      </c>
    </row>
    <row r="137" spans="1:13" x14ac:dyDescent="0.2">
      <c r="A137" s="1613"/>
      <c r="B137" s="1604"/>
      <c r="C137" s="1614"/>
      <c r="D137" s="1614"/>
      <c r="E137" s="1612" t="s">
        <v>340</v>
      </c>
      <c r="F137" s="1609">
        <v>7.077</v>
      </c>
      <c r="G137" s="1609">
        <v>0.80879999999999996</v>
      </c>
      <c r="H137" s="1609">
        <v>6.2682000000000002</v>
      </c>
      <c r="I137" s="1596"/>
      <c r="J137" s="1596"/>
      <c r="K137" s="1609">
        <v>7.8857999999999997</v>
      </c>
      <c r="L137" s="1609">
        <v>0.80879999999999996</v>
      </c>
      <c r="M137" s="1609">
        <v>7.077</v>
      </c>
    </row>
    <row r="138" spans="1:13" x14ac:dyDescent="0.2">
      <c r="A138" s="1613"/>
      <c r="B138" s="1604"/>
      <c r="C138" s="1614"/>
      <c r="D138" s="1614"/>
      <c r="E138" s="1612" t="s">
        <v>341</v>
      </c>
      <c r="F138" s="1609">
        <v>8.1424112569999991</v>
      </c>
      <c r="G138" s="1609">
        <v>0.76411009200000002</v>
      </c>
      <c r="H138" s="1609">
        <v>7.378301164999999</v>
      </c>
      <c r="I138" s="1596"/>
      <c r="J138" s="1596"/>
      <c r="K138" s="1609">
        <v>7.4500733769999998</v>
      </c>
      <c r="L138" s="1609">
        <v>0.76411009200000002</v>
      </c>
      <c r="M138" s="1609">
        <v>6.6859632849999997</v>
      </c>
    </row>
    <row r="139" spans="1:13" x14ac:dyDescent="0.2">
      <c r="A139" s="1613"/>
      <c r="B139" s="1604"/>
      <c r="C139" s="1614"/>
      <c r="D139" s="1614"/>
      <c r="E139" s="1612" t="s">
        <v>342</v>
      </c>
      <c r="F139" s="1609">
        <v>7.2876124000000004</v>
      </c>
      <c r="G139" s="1609">
        <v>0.72876123999999998</v>
      </c>
      <c r="H139" s="1609">
        <v>6.5588511600000006</v>
      </c>
      <c r="I139" s="1596"/>
      <c r="J139" s="1596"/>
      <c r="K139" s="1609">
        <v>5.3146468999999996</v>
      </c>
      <c r="L139" s="1609">
        <v>0.31002106916666661</v>
      </c>
      <c r="M139" s="1609">
        <v>5.0046258308333327</v>
      </c>
    </row>
    <row r="140" spans="1:13" x14ac:dyDescent="0.2">
      <c r="A140" s="1613"/>
      <c r="B140" s="1604"/>
      <c r="C140" s="1614"/>
      <c r="D140" s="1614"/>
      <c r="E140" s="1612" t="s">
        <v>343</v>
      </c>
      <c r="F140" s="1609">
        <v>5.9225670780000002</v>
      </c>
      <c r="G140" s="1609">
        <v>0.61414524400000003</v>
      </c>
      <c r="H140" s="1609">
        <v>5.3084218339999998</v>
      </c>
      <c r="I140" s="1596"/>
      <c r="J140" s="1596"/>
      <c r="K140" s="1609">
        <v>5.9879159890000002</v>
      </c>
      <c r="L140" s="1609">
        <v>0.61414524400000003</v>
      </c>
      <c r="M140" s="1609">
        <v>5.3737707449999998</v>
      </c>
    </row>
    <row r="141" spans="1:13" x14ac:dyDescent="0.2">
      <c r="A141" s="1613"/>
      <c r="B141" s="1604"/>
      <c r="C141" s="1614"/>
      <c r="D141" s="1614"/>
      <c r="E141" s="1612" t="s">
        <v>344</v>
      </c>
      <c r="F141" s="1609">
        <v>1.7339999940000002</v>
      </c>
      <c r="G141" s="1609">
        <v>0.20400000800000001</v>
      </c>
      <c r="H141" s="1609">
        <v>1.5299999860000002</v>
      </c>
      <c r="I141" s="1596"/>
      <c r="J141" s="1596"/>
      <c r="K141" s="1609">
        <v>1.9379999960000001</v>
      </c>
      <c r="L141" s="1609">
        <v>0.20400000800000001</v>
      </c>
      <c r="M141" s="1609">
        <v>1.7339999880000001</v>
      </c>
    </row>
    <row r="142" spans="1:13" x14ac:dyDescent="0.2">
      <c r="A142" s="1613"/>
      <c r="B142" s="1604"/>
      <c r="C142" s="1614"/>
      <c r="D142" s="1614"/>
      <c r="E142" s="1612" t="s">
        <v>345</v>
      </c>
      <c r="F142" s="1609">
        <v>7.5960000000000001</v>
      </c>
      <c r="G142" s="1609">
        <v>0.75960000000000005</v>
      </c>
      <c r="H142" s="1609">
        <v>6.8364000000000003</v>
      </c>
      <c r="I142" s="1596"/>
      <c r="J142" s="1596"/>
      <c r="K142" s="1609">
        <v>8.44</v>
      </c>
      <c r="L142" s="1609">
        <v>0.84399999999999997</v>
      </c>
      <c r="M142" s="1609">
        <v>7.5959999999999992</v>
      </c>
    </row>
    <row r="143" spans="1:13" x14ac:dyDescent="0.2">
      <c r="A143" s="1613"/>
      <c r="B143" s="1604"/>
      <c r="C143" s="1614"/>
      <c r="D143" s="1614"/>
      <c r="E143" s="1612" t="s">
        <v>346</v>
      </c>
      <c r="F143" s="1609">
        <v>10.527814985000001</v>
      </c>
      <c r="G143" s="1609">
        <v>1.2760988199999999</v>
      </c>
      <c r="H143" s="1609">
        <v>9.2517161650000013</v>
      </c>
      <c r="I143" s="1596"/>
      <c r="J143" s="1596"/>
      <c r="K143" s="1609">
        <v>11.803913790000001</v>
      </c>
      <c r="L143" s="1609">
        <v>1.2760988199999999</v>
      </c>
      <c r="M143" s="1609">
        <v>10.527814970000001</v>
      </c>
    </row>
    <row r="144" spans="1:13" x14ac:dyDescent="0.2">
      <c r="A144" s="1613"/>
      <c r="B144" s="1604"/>
      <c r="C144" s="1614"/>
      <c r="D144" s="1614"/>
      <c r="E144" s="1612" t="s">
        <v>347</v>
      </c>
      <c r="F144" s="1609">
        <v>9.0939999999999994</v>
      </c>
      <c r="G144" s="1609">
        <v>0.45469999999999999</v>
      </c>
      <c r="H144" s="1609">
        <v>8.6392999999999986</v>
      </c>
      <c r="I144" s="1596"/>
      <c r="J144" s="1596"/>
      <c r="K144" s="1609">
        <v>9.0939999999999994</v>
      </c>
      <c r="L144" s="1609">
        <v>0</v>
      </c>
      <c r="M144" s="1609">
        <v>9.0939999999999994</v>
      </c>
    </row>
    <row r="145" spans="1:13" x14ac:dyDescent="0.2">
      <c r="A145" s="1613"/>
      <c r="B145" s="1604"/>
      <c r="C145" s="1614"/>
      <c r="D145" s="1614"/>
      <c r="E145" s="1612" t="s">
        <v>348</v>
      </c>
      <c r="F145" s="1609">
        <v>9.9644162999999999</v>
      </c>
      <c r="G145" s="1609">
        <v>0.99644162999999986</v>
      </c>
      <c r="H145" s="1609">
        <v>8.9679746700000003</v>
      </c>
      <c r="I145" s="1596"/>
      <c r="J145" s="1596"/>
      <c r="K145" s="1609">
        <v>10.97</v>
      </c>
      <c r="L145" s="1609">
        <v>1.0055833333333335</v>
      </c>
      <c r="M145" s="1609">
        <v>9.9644166666666667</v>
      </c>
    </row>
    <row r="146" spans="1:13" x14ac:dyDescent="0.2">
      <c r="A146" s="1613"/>
      <c r="B146" s="1604"/>
      <c r="C146" s="1614"/>
      <c r="D146" s="1614"/>
      <c r="E146" s="1612" t="s">
        <v>349</v>
      </c>
      <c r="F146" s="1609">
        <v>13.536249998000002</v>
      </c>
      <c r="G146" s="1609">
        <v>1.5470000039999998</v>
      </c>
      <c r="H146" s="1609">
        <v>11.989249994000003</v>
      </c>
      <c r="I146" s="1596"/>
      <c r="J146" s="1596"/>
      <c r="K146" s="1609">
        <v>15.083249999000001</v>
      </c>
      <c r="L146" s="1609">
        <v>1.5470000039999998</v>
      </c>
      <c r="M146" s="1609">
        <v>13.536249995000002</v>
      </c>
    </row>
    <row r="147" spans="1:13" x14ac:dyDescent="0.2">
      <c r="A147" s="1613"/>
      <c r="B147" s="1604"/>
      <c r="C147" s="1614"/>
      <c r="D147" s="1614"/>
      <c r="E147" s="1612" t="s">
        <v>350</v>
      </c>
      <c r="F147" s="1609">
        <v>8.6173044999999995</v>
      </c>
      <c r="G147" s="1609">
        <v>0</v>
      </c>
      <c r="H147" s="1609">
        <v>8.6173044999999995</v>
      </c>
      <c r="I147" s="1596"/>
      <c r="J147" s="1596"/>
      <c r="K147" s="1609">
        <v>3.5896352</v>
      </c>
      <c r="L147" s="1609">
        <v>0</v>
      </c>
      <c r="M147" s="1609">
        <v>3.5896352</v>
      </c>
    </row>
    <row r="148" spans="1:13" x14ac:dyDescent="0.2">
      <c r="A148" s="1613"/>
      <c r="B148" s="1604"/>
      <c r="C148" s="1614"/>
      <c r="D148" s="1614"/>
      <c r="E148" s="1612" t="s">
        <v>351</v>
      </c>
      <c r="F148" s="1609">
        <v>17.277994700000001</v>
      </c>
      <c r="G148" s="1609">
        <v>0</v>
      </c>
      <c r="H148" s="1609">
        <v>17.277994700000001</v>
      </c>
      <c r="I148" s="1596"/>
      <c r="J148" s="1596"/>
      <c r="K148" s="1609">
        <v>17.277994700000001</v>
      </c>
      <c r="L148" s="1609">
        <v>0</v>
      </c>
      <c r="M148" s="1609">
        <v>17.277994700000001</v>
      </c>
    </row>
    <row r="149" spans="1:13" x14ac:dyDescent="0.2">
      <c r="A149" s="1613"/>
      <c r="B149" s="1604"/>
      <c r="C149" s="1614"/>
      <c r="D149" s="1614"/>
      <c r="E149" s="488" t="s">
        <v>352</v>
      </c>
      <c r="F149" s="1609">
        <v>4.3018941999999996</v>
      </c>
      <c r="G149" s="1609">
        <v>0.43018941999999999</v>
      </c>
      <c r="H149" s="1609">
        <v>3.8717047799999995</v>
      </c>
      <c r="I149" s="1596"/>
      <c r="J149" s="1596"/>
      <c r="K149" s="1609">
        <v>3.2449260999999998</v>
      </c>
      <c r="L149" s="1609">
        <v>2.7041050833333333E-2</v>
      </c>
      <c r="M149" s="1609">
        <v>3.2178850491666666</v>
      </c>
    </row>
    <row r="150" spans="1:13" x14ac:dyDescent="0.2">
      <c r="A150" s="1613"/>
      <c r="B150" s="1604"/>
      <c r="C150" s="1614"/>
      <c r="D150" s="1614"/>
      <c r="E150" s="488" t="s">
        <v>353</v>
      </c>
      <c r="F150" s="1609">
        <v>19.552467100000001</v>
      </c>
      <c r="G150" s="1609">
        <v>2.1927995999999998</v>
      </c>
      <c r="H150" s="1609">
        <v>17.3596675</v>
      </c>
      <c r="I150" s="1596"/>
      <c r="J150" s="1596"/>
      <c r="K150" s="1609">
        <v>21.745266699999998</v>
      </c>
      <c r="L150" s="1609">
        <v>2.1927995999999998</v>
      </c>
      <c r="M150" s="1609">
        <v>19.552467099999998</v>
      </c>
    </row>
    <row r="151" spans="1:13" x14ac:dyDescent="0.2">
      <c r="A151" s="1613"/>
      <c r="B151" s="1604"/>
      <c r="C151" s="1614"/>
      <c r="D151" s="1614"/>
      <c r="E151" s="488" t="s">
        <v>354</v>
      </c>
      <c r="F151" s="1609">
        <v>19.260000399999999</v>
      </c>
      <c r="G151" s="1609">
        <v>1.9260000399999999</v>
      </c>
      <c r="H151" s="1609">
        <v>17.334000359999997</v>
      </c>
      <c r="I151" s="1596"/>
      <c r="J151" s="1596"/>
      <c r="K151" s="1609">
        <v>21.4</v>
      </c>
      <c r="L151" s="1609">
        <v>2.1399999999999997</v>
      </c>
      <c r="M151" s="1609">
        <v>19.259999999999998</v>
      </c>
    </row>
    <row r="152" spans="1:13" x14ac:dyDescent="0.2">
      <c r="A152" s="1613"/>
      <c r="B152" s="1604"/>
      <c r="C152" s="1614"/>
      <c r="D152" s="1614"/>
      <c r="E152" s="488" t="s">
        <v>355</v>
      </c>
      <c r="F152" s="1609">
        <v>9.18</v>
      </c>
      <c r="G152" s="1609">
        <v>0.53549999999999998</v>
      </c>
      <c r="H152" s="1609">
        <v>8.644499999999999</v>
      </c>
      <c r="I152" s="1596"/>
      <c r="J152" s="1596"/>
      <c r="K152" s="1609">
        <v>9.18</v>
      </c>
      <c r="L152" s="1609">
        <v>0</v>
      </c>
      <c r="M152" s="1609">
        <v>9.18</v>
      </c>
    </row>
    <row r="153" spans="1:13" x14ac:dyDescent="0.2">
      <c r="A153" s="1613"/>
      <c r="B153" s="1604"/>
      <c r="C153" s="1614"/>
      <c r="D153" s="1614"/>
      <c r="E153" s="488" t="s">
        <v>356</v>
      </c>
      <c r="F153" s="1609">
        <v>1.2502884999999999</v>
      </c>
      <c r="G153" s="1609">
        <v>0</v>
      </c>
      <c r="H153" s="1609">
        <v>1.2502884999999999</v>
      </c>
      <c r="I153" s="1596"/>
      <c r="J153" s="1596"/>
      <c r="K153" s="1609">
        <v>0</v>
      </c>
      <c r="L153" s="1609">
        <v>0</v>
      </c>
      <c r="M153" s="1609">
        <v>0</v>
      </c>
    </row>
    <row r="154" spans="1:13" x14ac:dyDescent="0.2">
      <c r="A154" s="1613"/>
      <c r="B154" s="1604"/>
      <c r="C154" s="1614"/>
      <c r="D154" s="1614"/>
      <c r="E154" s="488" t="s">
        <v>357</v>
      </c>
      <c r="F154" s="1609">
        <v>10.7826948</v>
      </c>
      <c r="G154" s="1609">
        <v>0</v>
      </c>
      <c r="H154" s="1609">
        <v>10.7826948</v>
      </c>
      <c r="I154" s="1596"/>
      <c r="J154" s="1596"/>
      <c r="K154" s="1609">
        <v>5.2969055999999997</v>
      </c>
      <c r="L154" s="1609">
        <v>0</v>
      </c>
      <c r="M154" s="1609">
        <v>5.2969055999999997</v>
      </c>
    </row>
    <row r="155" spans="1:13" x14ac:dyDescent="0.2">
      <c r="A155" s="1613"/>
      <c r="B155" s="1604"/>
      <c r="C155" s="1614"/>
      <c r="D155" s="1614"/>
      <c r="E155" s="488" t="s">
        <v>358</v>
      </c>
      <c r="F155" s="1609">
        <v>8.3715624999999996</v>
      </c>
      <c r="G155" s="1609">
        <v>0.83715624999999994</v>
      </c>
      <c r="H155" s="1609">
        <v>7.53440625</v>
      </c>
      <c r="I155" s="1596"/>
      <c r="J155" s="1596"/>
      <c r="K155" s="1609">
        <v>9.0299999999999994</v>
      </c>
      <c r="L155" s="1609">
        <v>0.52674999999999994</v>
      </c>
      <c r="M155" s="1609">
        <v>8.5032499999999995</v>
      </c>
    </row>
    <row r="156" spans="1:13" x14ac:dyDescent="0.2">
      <c r="A156" s="1613"/>
      <c r="B156" s="1604"/>
      <c r="C156" s="1614"/>
      <c r="D156" s="1614"/>
      <c r="E156" s="488" t="s">
        <v>359</v>
      </c>
      <c r="F156" s="1609">
        <v>12.048</v>
      </c>
      <c r="G156" s="1609">
        <v>1.2048000000000001</v>
      </c>
      <c r="H156" s="1609">
        <v>10.8432</v>
      </c>
      <c r="I156" s="1596"/>
      <c r="J156" s="1596"/>
      <c r="K156" s="1609">
        <v>12.048</v>
      </c>
      <c r="L156" s="1609">
        <v>0</v>
      </c>
      <c r="M156" s="1609">
        <v>12.048</v>
      </c>
    </row>
    <row r="157" spans="1:13" x14ac:dyDescent="0.2">
      <c r="A157" s="1613"/>
      <c r="B157" s="1604"/>
      <c r="C157" s="1614"/>
      <c r="D157" s="1614"/>
      <c r="E157" s="488" t="s">
        <v>360</v>
      </c>
      <c r="F157" s="1609">
        <v>8.1803331999999997</v>
      </c>
      <c r="G157" s="1609">
        <v>0.81803331999999995</v>
      </c>
      <c r="H157" s="1609">
        <v>7.3622998800000001</v>
      </c>
      <c r="I157" s="1596"/>
      <c r="J157" s="1596"/>
      <c r="K157" s="1609">
        <v>7.9045866</v>
      </c>
      <c r="L157" s="1609">
        <v>0.26348621999999999</v>
      </c>
      <c r="M157" s="1609">
        <v>7.6411003800000001</v>
      </c>
    </row>
    <row r="158" spans="1:13" x14ac:dyDescent="0.2">
      <c r="A158" s="1613"/>
      <c r="B158" s="1604"/>
      <c r="C158" s="1614"/>
      <c r="D158" s="1614"/>
      <c r="E158" s="488" t="s">
        <v>361</v>
      </c>
      <c r="F158" s="1609">
        <v>7.7531669000000001</v>
      </c>
      <c r="G158" s="1609">
        <v>0.77531669000000014</v>
      </c>
      <c r="H158" s="1609">
        <v>6.9778502099999997</v>
      </c>
      <c r="I158" s="1596"/>
      <c r="J158" s="1596"/>
      <c r="K158" s="1609">
        <v>8.4580000000000002</v>
      </c>
      <c r="L158" s="1609">
        <v>0.28193333333333331</v>
      </c>
      <c r="M158" s="1609">
        <v>8.1760666666666673</v>
      </c>
    </row>
    <row r="159" spans="1:13" x14ac:dyDescent="0.2">
      <c r="A159" s="1613"/>
      <c r="B159" s="1604"/>
      <c r="C159" s="1614"/>
      <c r="D159" s="1614"/>
      <c r="E159" s="488" t="s">
        <v>362</v>
      </c>
      <c r="F159" s="1609">
        <v>7.8188370000000003</v>
      </c>
      <c r="G159" s="1609">
        <v>0</v>
      </c>
      <c r="H159" s="1609">
        <v>7.8188370000000003</v>
      </c>
      <c r="I159" s="1596"/>
      <c r="J159" s="1596"/>
      <c r="K159" s="1609">
        <v>7.1705318</v>
      </c>
      <c r="L159" s="1609">
        <v>0</v>
      </c>
      <c r="M159" s="1609">
        <v>7.1705318</v>
      </c>
    </row>
    <row r="160" spans="1:13" x14ac:dyDescent="0.2">
      <c r="A160" s="1613"/>
      <c r="B160" s="1604"/>
      <c r="C160" s="1614"/>
      <c r="D160" s="1614"/>
      <c r="E160" s="488" t="s">
        <v>363</v>
      </c>
      <c r="F160" s="1609">
        <v>4.0413686999999996</v>
      </c>
      <c r="G160" s="1609">
        <v>0.13471228999999998</v>
      </c>
      <c r="H160" s="1609">
        <v>3.9066564099999996</v>
      </c>
      <c r="I160" s="1596"/>
      <c r="J160" s="1596"/>
      <c r="K160" s="1609">
        <v>4.0413686999999996</v>
      </c>
      <c r="L160" s="1609">
        <v>0</v>
      </c>
      <c r="M160" s="1609">
        <v>4.0413686999999996</v>
      </c>
    </row>
    <row r="161" spans="1:13" x14ac:dyDescent="0.2">
      <c r="A161" s="1613"/>
      <c r="B161" s="1604"/>
      <c r="C161" s="1614"/>
      <c r="D161" s="1614"/>
      <c r="E161" s="488" t="s">
        <v>364</v>
      </c>
      <c r="F161" s="1609">
        <v>5.8583692000000003</v>
      </c>
      <c r="G161" s="1609">
        <v>0.83691000000000004</v>
      </c>
      <c r="H161" s="1609">
        <v>5.0214592000000007</v>
      </c>
      <c r="I161" s="1596"/>
      <c r="J161" s="1596"/>
      <c r="K161" s="1609">
        <v>6.6952791999999999</v>
      </c>
      <c r="L161" s="1609">
        <v>0.83691000000000004</v>
      </c>
      <c r="M161" s="1609">
        <v>5.8583692000000003</v>
      </c>
    </row>
    <row r="162" spans="1:13" x14ac:dyDescent="0.2">
      <c r="A162" s="1613"/>
      <c r="B162" s="1604"/>
      <c r="C162" s="1614"/>
      <c r="D162" s="1614"/>
      <c r="E162" s="488" t="s">
        <v>365</v>
      </c>
      <c r="F162" s="1609">
        <v>16.427395934</v>
      </c>
      <c r="G162" s="1609">
        <v>1.6427395934</v>
      </c>
      <c r="H162" s="1609">
        <v>14.7846563406</v>
      </c>
      <c r="I162" s="1596"/>
      <c r="J162" s="1596"/>
      <c r="K162" s="1609">
        <v>17.329999999999998</v>
      </c>
      <c r="L162" s="1609">
        <v>0.7220833333333333</v>
      </c>
      <c r="M162" s="1609">
        <v>16.607916666666664</v>
      </c>
    </row>
    <row r="163" spans="1:13" x14ac:dyDescent="0.2">
      <c r="A163" s="1613"/>
      <c r="B163" s="1604"/>
      <c r="C163" s="1614"/>
      <c r="D163" s="1614"/>
      <c r="E163" s="488" t="s">
        <v>366</v>
      </c>
      <c r="F163" s="1609">
        <v>11.7230002</v>
      </c>
      <c r="G163" s="1609">
        <v>1.17230002</v>
      </c>
      <c r="H163" s="1609">
        <v>10.55070018</v>
      </c>
      <c r="I163" s="1596"/>
      <c r="J163" s="1596"/>
      <c r="K163" s="1609">
        <v>12.34</v>
      </c>
      <c r="L163" s="1609">
        <v>0.61699999999999999</v>
      </c>
      <c r="M163" s="1609">
        <v>11.722999999999999</v>
      </c>
    </row>
    <row r="164" spans="1:13" x14ac:dyDescent="0.2">
      <c r="A164" s="1613"/>
      <c r="B164" s="1604"/>
      <c r="C164" s="1614"/>
      <c r="D164" s="1614"/>
      <c r="E164" s="488" t="s">
        <v>367</v>
      </c>
      <c r="F164" s="1609">
        <v>8.52</v>
      </c>
      <c r="G164" s="1609">
        <v>0.85199999999999987</v>
      </c>
      <c r="H164" s="1609">
        <v>7.6679999999999993</v>
      </c>
      <c r="I164" s="1596"/>
      <c r="J164" s="1596"/>
      <c r="K164" s="1609">
        <v>8.52</v>
      </c>
      <c r="L164" s="1609">
        <v>0</v>
      </c>
      <c r="M164" s="1609">
        <v>8.52</v>
      </c>
    </row>
    <row r="165" spans="1:13" x14ac:dyDescent="0.2">
      <c r="A165" s="1613"/>
      <c r="B165" s="1604"/>
      <c r="C165" s="1614"/>
      <c r="D165" s="1614"/>
      <c r="E165" s="488" t="s">
        <v>368</v>
      </c>
      <c r="F165" s="1609">
        <v>2.8145699999999998</v>
      </c>
      <c r="G165" s="1609">
        <v>0</v>
      </c>
      <c r="H165" s="1609">
        <v>2.8145699999999998</v>
      </c>
      <c r="I165" s="1596"/>
      <c r="J165" s="1596"/>
      <c r="K165" s="1609">
        <v>0</v>
      </c>
      <c r="L165" s="1609">
        <v>0</v>
      </c>
      <c r="M165" s="1609">
        <v>0</v>
      </c>
    </row>
    <row r="166" spans="1:13" x14ac:dyDescent="0.2">
      <c r="A166" s="1613"/>
      <c r="B166" s="1604"/>
      <c r="C166" s="1614"/>
      <c r="D166" s="1614"/>
      <c r="E166" s="488">
        <v>15656</v>
      </c>
      <c r="F166" s="1609">
        <v>2.4887771999999999</v>
      </c>
      <c r="G166" s="1609">
        <v>0</v>
      </c>
      <c r="H166" s="1609">
        <v>2.4887771999999999</v>
      </c>
      <c r="I166" s="1596"/>
      <c r="J166" s="1596"/>
      <c r="K166" s="1609">
        <v>2.2200000000000002</v>
      </c>
      <c r="L166" s="1609">
        <v>0</v>
      </c>
      <c r="M166" s="1609">
        <v>2.2200000000000002</v>
      </c>
    </row>
    <row r="167" spans="1:13" x14ac:dyDescent="0.2">
      <c r="A167" s="1613"/>
      <c r="B167" s="1604"/>
      <c r="C167" s="1614"/>
      <c r="D167" s="1614"/>
      <c r="E167" s="488">
        <v>15654</v>
      </c>
      <c r="F167" s="1609">
        <v>14.656000000000001</v>
      </c>
      <c r="G167" s="1609">
        <v>0.24426666666666669</v>
      </c>
      <c r="H167" s="1609">
        <v>14.411733333333334</v>
      </c>
      <c r="I167" s="1596"/>
      <c r="J167" s="1596"/>
      <c r="K167" s="1609">
        <v>8.6875961000000004</v>
      </c>
      <c r="L167" s="1609">
        <v>0</v>
      </c>
      <c r="M167" s="1609">
        <v>8.6875961000000004</v>
      </c>
    </row>
    <row r="168" spans="1:13" x14ac:dyDescent="0.2">
      <c r="A168" s="1613"/>
      <c r="B168" s="1604"/>
      <c r="C168" s="1614"/>
      <c r="D168" s="1614"/>
      <c r="E168" s="488">
        <v>15643</v>
      </c>
      <c r="F168" s="1609">
        <v>2.5439002999999998</v>
      </c>
      <c r="G168" s="1609">
        <v>0</v>
      </c>
      <c r="H168" s="1609">
        <v>2.5439002999999998</v>
      </c>
      <c r="I168" s="1596"/>
      <c r="J168" s="1596"/>
      <c r="K168" s="1609">
        <v>0</v>
      </c>
      <c r="L168" s="1609">
        <v>0</v>
      </c>
      <c r="M168" s="1609">
        <v>0</v>
      </c>
    </row>
    <row r="169" spans="1:13" x14ac:dyDescent="0.2">
      <c r="A169" s="1613"/>
      <c r="B169" s="1604"/>
      <c r="C169" s="1614"/>
      <c r="D169" s="1614"/>
      <c r="E169" s="488">
        <v>16052</v>
      </c>
      <c r="F169" s="1609">
        <v>30.128</v>
      </c>
      <c r="G169" s="1609">
        <v>3.0127999999999999</v>
      </c>
      <c r="H169" s="1609">
        <v>27.115200000000002</v>
      </c>
      <c r="I169" s="1596"/>
      <c r="J169" s="1596"/>
      <c r="K169" s="1609">
        <v>0</v>
      </c>
      <c r="L169" s="1609">
        <v>0</v>
      </c>
      <c r="M169" s="1609">
        <v>0</v>
      </c>
    </row>
    <row r="170" spans="1:13" x14ac:dyDescent="0.2">
      <c r="A170" s="1613"/>
      <c r="B170" s="1604"/>
      <c r="C170" s="1614"/>
      <c r="D170" s="1614"/>
      <c r="E170" s="488">
        <v>16057</v>
      </c>
      <c r="F170" s="1609">
        <v>16.017539800000002</v>
      </c>
      <c r="G170" s="1609">
        <v>0</v>
      </c>
      <c r="H170" s="1609">
        <v>16.017539800000002</v>
      </c>
      <c r="I170" s="1596"/>
      <c r="J170" s="1596"/>
      <c r="K170" s="1609">
        <v>0</v>
      </c>
      <c r="L170" s="1609">
        <v>0</v>
      </c>
      <c r="M170" s="1609">
        <v>0</v>
      </c>
    </row>
    <row r="171" spans="1:13" x14ac:dyDescent="0.2">
      <c r="A171" s="1613"/>
      <c r="B171" s="1604"/>
      <c r="C171" s="1614"/>
      <c r="D171" s="1614"/>
      <c r="E171" s="1502" t="s">
        <v>369</v>
      </c>
      <c r="F171" s="1609">
        <v>1800</v>
      </c>
      <c r="G171" s="1609">
        <v>0</v>
      </c>
      <c r="H171" s="1609">
        <v>1800</v>
      </c>
      <c r="I171" s="1596"/>
      <c r="J171" s="1596"/>
      <c r="K171" s="1609">
        <v>0</v>
      </c>
      <c r="L171" s="1609">
        <v>0</v>
      </c>
      <c r="M171" s="1609">
        <v>0</v>
      </c>
    </row>
    <row r="172" spans="1:13" x14ac:dyDescent="0.2">
      <c r="A172" s="1613"/>
      <c r="B172" s="1604"/>
      <c r="C172" s="1614"/>
      <c r="D172" s="1614"/>
      <c r="E172" s="1502"/>
      <c r="F172" s="1609"/>
      <c r="G172" s="1609"/>
      <c r="H172" s="1609"/>
      <c r="I172" s="1596"/>
      <c r="J172" s="1596"/>
      <c r="K172" s="1609"/>
      <c r="L172" s="1609"/>
      <c r="M172" s="1609"/>
    </row>
    <row r="173" spans="1:13" x14ac:dyDescent="0.2">
      <c r="A173" s="1617"/>
      <c r="B173" s="1607"/>
      <c r="C173" s="1618"/>
      <c r="D173" s="1618"/>
      <c r="E173" s="1610" t="s">
        <v>370</v>
      </c>
      <c r="F173" s="1611">
        <f>SUM(F53:F171)</f>
        <v>13488.279402133996</v>
      </c>
      <c r="G173" s="1611">
        <f>SUM(G53:G171)</f>
        <v>1483.9457997150673</v>
      </c>
      <c r="H173" s="1611">
        <f>SUM(H53:H171)</f>
        <v>12004.333602418934</v>
      </c>
      <c r="I173" s="1596"/>
      <c r="J173" s="1596"/>
      <c r="K173" s="1611">
        <f>SUM(K53:K171)</f>
        <v>12124.283202425007</v>
      </c>
      <c r="L173" s="1611">
        <f>SUM(L53:L171)</f>
        <v>1470.2420685208342</v>
      </c>
      <c r="M173" s="1611">
        <f>SUM(M53:M171)</f>
        <v>10654.041133904171</v>
      </c>
    </row>
    <row r="174" spans="1:13" x14ac:dyDescent="0.2">
      <c r="A174" s="1613"/>
      <c r="B174" s="1604"/>
      <c r="C174" s="1614"/>
      <c r="D174" s="1614"/>
      <c r="E174" s="1612"/>
      <c r="F174" s="1609"/>
      <c r="G174" s="1609"/>
      <c r="H174" s="1609"/>
      <c r="I174" s="1596"/>
      <c r="J174" s="1596"/>
      <c r="K174" s="1609"/>
      <c r="L174" s="1609"/>
      <c r="M174" s="1609"/>
    </row>
    <row r="175" spans="1:13" ht="30" x14ac:dyDescent="0.2">
      <c r="A175" s="1613">
        <v>3</v>
      </c>
      <c r="B175" s="1604" t="s">
        <v>371</v>
      </c>
      <c r="C175" s="1614">
        <v>43553</v>
      </c>
      <c r="D175" s="1614">
        <v>44648</v>
      </c>
      <c r="E175" s="1612" t="s">
        <v>372</v>
      </c>
      <c r="F175" s="1609"/>
      <c r="G175" s="1609"/>
      <c r="H175" s="1609"/>
      <c r="I175" s="1596"/>
      <c r="J175" s="1596"/>
      <c r="K175" s="1609">
        <v>0</v>
      </c>
      <c r="L175" s="1609">
        <v>0</v>
      </c>
      <c r="M175" s="1609">
        <v>0</v>
      </c>
    </row>
    <row r="176" spans="1:13" x14ac:dyDescent="0.2">
      <c r="A176" s="1613"/>
      <c r="B176" s="1604" t="s">
        <v>373</v>
      </c>
      <c r="C176" s="1614"/>
      <c r="D176" s="1614"/>
      <c r="E176" s="1612" t="s">
        <v>374</v>
      </c>
      <c r="F176" s="1609"/>
      <c r="G176" s="1609"/>
      <c r="H176" s="1609"/>
      <c r="I176" s="1596"/>
      <c r="J176" s="1596"/>
      <c r="K176" s="1609">
        <v>500</v>
      </c>
      <c r="L176" s="1609">
        <v>500.00000039999998</v>
      </c>
      <c r="M176" s="1609">
        <v>-3.9999997625272954E-7</v>
      </c>
    </row>
    <row r="177" spans="1:13" x14ac:dyDescent="0.2">
      <c r="A177" s="1613"/>
      <c r="B177" s="1604" t="s">
        <v>373</v>
      </c>
      <c r="C177" s="1614"/>
      <c r="D177" s="1614"/>
      <c r="E177" s="1612" t="s">
        <v>375</v>
      </c>
      <c r="F177" s="1609">
        <v>938.07950470000003</v>
      </c>
      <c r="G177" s="1609">
        <v>117.25993808749999</v>
      </c>
      <c r="H177" s="1609">
        <v>820.81956661250001</v>
      </c>
      <c r="I177" s="1596"/>
      <c r="J177" s="1596"/>
      <c r="K177" s="1609">
        <v>999.99945130000003</v>
      </c>
      <c r="L177" s="1609">
        <v>250</v>
      </c>
      <c r="M177" s="1609">
        <f>+K177-L177</f>
        <v>749.99945130000003</v>
      </c>
    </row>
    <row r="178" spans="1:13" x14ac:dyDescent="0.2">
      <c r="A178" s="1613"/>
      <c r="B178" s="1604" t="s">
        <v>376</v>
      </c>
      <c r="C178" s="1614"/>
      <c r="D178" s="1614"/>
      <c r="E178" s="488">
        <v>21571003</v>
      </c>
      <c r="F178" s="1609">
        <v>1887.1727430999999</v>
      </c>
      <c r="G178" s="1609">
        <v>174.18119999999999</v>
      </c>
      <c r="H178" s="1609">
        <v>1712.9915430999999</v>
      </c>
      <c r="I178" s="1596"/>
      <c r="J178" s="1596"/>
      <c r="K178" s="1609">
        <v>2000</v>
      </c>
      <c r="L178" s="1609">
        <v>145.83333333333331</v>
      </c>
      <c r="M178" s="1609">
        <v>1854.1666666666667</v>
      </c>
    </row>
    <row r="179" spans="1:13" ht="30" x14ac:dyDescent="0.2">
      <c r="A179" s="1613">
        <v>4</v>
      </c>
      <c r="B179" s="1604" t="s">
        <v>377</v>
      </c>
      <c r="C179" s="1614">
        <v>41352</v>
      </c>
      <c r="D179" s="1614">
        <v>44985</v>
      </c>
      <c r="E179" s="1615">
        <v>20058</v>
      </c>
      <c r="F179" s="1609"/>
      <c r="G179" s="1609"/>
      <c r="H179" s="1609"/>
      <c r="I179" s="1596"/>
      <c r="J179" s="1596"/>
      <c r="K179" s="1609">
        <v>1.7491721000000002</v>
      </c>
      <c r="L179" s="1609">
        <v>1.7492000000000001</v>
      </c>
      <c r="M179" s="1609">
        <v>-2.7899999999858593E-5</v>
      </c>
    </row>
    <row r="180" spans="1:13" ht="30" x14ac:dyDescent="0.2">
      <c r="A180" s="1605">
        <v>5</v>
      </c>
      <c r="B180" s="1604" t="s">
        <v>378</v>
      </c>
      <c r="C180" s="1614">
        <v>42658</v>
      </c>
      <c r="D180" s="1614">
        <v>47238</v>
      </c>
      <c r="E180" s="1619">
        <v>36174151137</v>
      </c>
      <c r="F180" s="1609">
        <v>1066.6391994000001</v>
      </c>
      <c r="G180" s="1609">
        <v>172.4</v>
      </c>
      <c r="H180" s="1609">
        <v>894.23919940000008</v>
      </c>
      <c r="I180" s="1596"/>
      <c r="J180" s="1596"/>
      <c r="K180" s="1609">
        <v>1238.9903277999999</v>
      </c>
      <c r="L180" s="1609">
        <v>172.4</v>
      </c>
      <c r="M180" s="1609">
        <v>1066.5903277999998</v>
      </c>
    </row>
    <row r="181" spans="1:13" ht="30" x14ac:dyDescent="0.2">
      <c r="A181" s="1613">
        <v>6</v>
      </c>
      <c r="B181" s="1604" t="s">
        <v>379</v>
      </c>
      <c r="C181" s="1614">
        <v>40756</v>
      </c>
      <c r="D181" s="1614">
        <v>45149</v>
      </c>
      <c r="E181" s="1619">
        <v>263652000000317</v>
      </c>
      <c r="F181" s="1609"/>
      <c r="G181" s="1609"/>
      <c r="H181" s="1609"/>
      <c r="I181" s="1596"/>
      <c r="J181" s="1596"/>
      <c r="K181" s="1609">
        <v>3.6473213000000002</v>
      </c>
      <c r="L181" s="1609">
        <v>3.6473213000000002</v>
      </c>
      <c r="M181" s="1609">
        <v>0</v>
      </c>
    </row>
    <row r="182" spans="1:13" x14ac:dyDescent="0.2">
      <c r="A182" s="1613"/>
      <c r="B182" s="1604"/>
      <c r="C182" s="1614"/>
      <c r="D182" s="1614"/>
      <c r="E182" s="1619"/>
      <c r="F182" s="1609"/>
      <c r="G182" s="1609"/>
      <c r="H182" s="1609"/>
      <c r="I182" s="1596"/>
      <c r="J182" s="1596"/>
      <c r="K182" s="1609"/>
      <c r="L182" s="1609"/>
      <c r="M182" s="1609"/>
    </row>
    <row r="183" spans="1:13" x14ac:dyDescent="0.2">
      <c r="A183" s="1617"/>
      <c r="B183" s="1607"/>
      <c r="C183" s="1618"/>
      <c r="D183" s="1618"/>
      <c r="E183" s="1620" t="s">
        <v>380</v>
      </c>
      <c r="F183" s="1611">
        <f>SUM(F175:F182)</f>
        <v>3891.8914472000001</v>
      </c>
      <c r="G183" s="1611">
        <f t="shared" ref="G183:H183" si="1">SUM(G175:G182)</f>
        <v>463.84113808749998</v>
      </c>
      <c r="H183" s="1611">
        <f t="shared" si="1"/>
        <v>3428.0503091125001</v>
      </c>
      <c r="I183" s="1596"/>
      <c r="J183" s="1596"/>
      <c r="K183" s="1611">
        <f>SUM(K175:K182)</f>
        <v>4744.3862724999999</v>
      </c>
      <c r="L183" s="1611">
        <f t="shared" ref="L183:M183" si="2">SUM(L175:L182)</f>
        <v>1073.6298550333333</v>
      </c>
      <c r="M183" s="1611">
        <f t="shared" si="2"/>
        <v>3670.7564174666668</v>
      </c>
    </row>
    <row r="184" spans="1:13" x14ac:dyDescent="0.2">
      <c r="A184" s="1621"/>
      <c r="B184" s="1607"/>
      <c r="C184" s="1606"/>
      <c r="D184" s="1614"/>
      <c r="E184" s="1612"/>
      <c r="F184" s="1622"/>
      <c r="G184" s="1622"/>
      <c r="H184" s="1622"/>
      <c r="I184" s="1596"/>
      <c r="J184" s="1596"/>
      <c r="K184" s="1622"/>
      <c r="L184" s="1622"/>
      <c r="M184" s="1622"/>
    </row>
    <row r="185" spans="1:13" x14ac:dyDescent="0.2">
      <c r="A185" s="1613"/>
      <c r="B185" s="1604"/>
      <c r="C185" s="1614"/>
      <c r="D185" s="1614"/>
      <c r="E185" s="1610" t="s">
        <v>381</v>
      </c>
      <c r="F185" s="1611">
        <f>+F183+F173+F51</f>
        <v>27136.752631933996</v>
      </c>
      <c r="G185" s="1611">
        <f>+G183+G173+G51</f>
        <v>2865.3637093025673</v>
      </c>
      <c r="H185" s="1611">
        <f>+H183+H173+H51</f>
        <v>24271.388922631435</v>
      </c>
      <c r="I185" s="1596"/>
      <c r="J185" s="1596"/>
      <c r="K185" s="1611">
        <f>+K183+K173+K51</f>
        <v>25155.532340325008</v>
      </c>
      <c r="L185" s="1611">
        <f>+L183+L173+L51</f>
        <v>3464.8299171541676</v>
      </c>
      <c r="M185" s="1611">
        <f>+M183+M173+M51</f>
        <v>21690.702423170838</v>
      </c>
    </row>
    <row r="186" spans="1:13" x14ac:dyDescent="0.2">
      <c r="A186" s="1613"/>
      <c r="B186" s="1604"/>
      <c r="C186" s="1614"/>
      <c r="D186" s="1614"/>
      <c r="E186" s="1612"/>
      <c r="F186" s="1609"/>
      <c r="G186" s="1609"/>
      <c r="H186" s="1609"/>
      <c r="I186" s="1596"/>
      <c r="J186" s="1596"/>
      <c r="K186" s="1609"/>
      <c r="L186" s="1609"/>
      <c r="M186" s="1609"/>
    </row>
    <row r="190" spans="1:13" x14ac:dyDescent="0.2">
      <c r="K190" s="1626"/>
    </row>
  </sheetData>
  <mergeCells count="11">
    <mergeCell ref="A1:M1"/>
    <mergeCell ref="A6:K6"/>
    <mergeCell ref="A7:K7"/>
    <mergeCell ref="A9:A12"/>
    <mergeCell ref="B9:B12"/>
    <mergeCell ref="C9:C12"/>
    <mergeCell ref="D9:D12"/>
    <mergeCell ref="E9:E12"/>
    <mergeCell ref="F9:H9"/>
    <mergeCell ref="K9:M9"/>
    <mergeCell ref="B2:M2"/>
  </mergeCells>
  <conditionalFormatting sqref="F14 E1:E1048576">
    <cfRule type="duplicateValues" dxfId="64" priority="1"/>
  </conditionalFormatting>
  <conditionalFormatting sqref="E1:E1048576">
    <cfRule type="duplicateValues" dxfId="63" priority="45"/>
  </conditionalFormatting>
  <printOptions horizontalCentered="1"/>
  <pageMargins left="0.78740157480314965" right="0.39370078740157483" top="0.78740157480314965" bottom="0.19685039370078741" header="0.31496062992125984" footer="0.31496062992125984"/>
  <pageSetup paperSize="9" scale="1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2:M20"/>
  <sheetViews>
    <sheetView showGridLines="0" view="pageBreakPreview" zoomScale="80" zoomScaleNormal="80" zoomScaleSheetLayoutView="80" workbookViewId="0">
      <selection activeCell="L22" sqref="L22"/>
    </sheetView>
  </sheetViews>
  <sheetFormatPr defaultColWidth="9.140625" defaultRowHeight="15" x14ac:dyDescent="0.2"/>
  <cols>
    <col min="1" max="1" width="5.7109375" style="4" customWidth="1"/>
    <col min="2" max="2" width="30.5703125" style="3" customWidth="1"/>
    <col min="3" max="3" width="12.85546875" style="3" customWidth="1"/>
    <col min="4" max="4" width="13.5703125" style="3" customWidth="1"/>
    <col min="5" max="5" width="11" style="4" customWidth="1"/>
    <col min="6" max="6" width="18" style="3" bestFit="1" customWidth="1"/>
    <col min="7" max="7" width="18.140625" style="3" customWidth="1"/>
    <col min="8" max="8" width="18" style="3" customWidth="1"/>
    <col min="9" max="9" width="18" style="3" hidden="1" customWidth="1"/>
    <col min="10" max="10" width="17.5703125" style="3" hidden="1" customWidth="1"/>
    <col min="11" max="13" width="19.5703125" style="3" customWidth="1"/>
    <col min="14" max="14" width="16.5703125" style="3" bestFit="1" customWidth="1"/>
    <col min="15" max="16" width="16.5703125" style="3" customWidth="1"/>
    <col min="17" max="17" width="16.140625" style="3" bestFit="1" customWidth="1"/>
    <col min="18" max="18" width="14.7109375" style="3" bestFit="1" customWidth="1"/>
    <col min="19" max="19" width="15.140625" style="3" bestFit="1" customWidth="1"/>
    <col min="20" max="16384" width="9.140625" style="3"/>
  </cols>
  <sheetData>
    <row r="2" spans="1:13" x14ac:dyDescent="0.2">
      <c r="B2" s="1643" t="s">
        <v>0</v>
      </c>
      <c r="C2" s="1643"/>
      <c r="D2" s="1643"/>
      <c r="E2" s="1643"/>
      <c r="F2" s="1643"/>
      <c r="G2" s="1643"/>
      <c r="H2" s="1643"/>
      <c r="I2" s="1643"/>
      <c r="J2" s="1643"/>
      <c r="K2" s="1643"/>
      <c r="L2" s="1643"/>
      <c r="M2" s="1643"/>
    </row>
    <row r="3" spans="1:13" x14ac:dyDescent="0.2">
      <c r="F3" s="1" t="s">
        <v>1</v>
      </c>
    </row>
    <row r="5" spans="1:13" x14ac:dyDescent="0.2">
      <c r="A5" s="1640" t="s">
        <v>244</v>
      </c>
      <c r="B5" s="1640"/>
      <c r="C5" s="1640"/>
      <c r="D5" s="1640"/>
      <c r="E5" s="1640"/>
      <c r="F5" s="1640"/>
      <c r="G5" s="1640"/>
      <c r="H5" s="1640"/>
      <c r="I5" s="1640"/>
      <c r="J5" s="1640"/>
      <c r="K5" s="1640"/>
      <c r="L5" s="1640"/>
      <c r="M5" s="1640"/>
    </row>
    <row r="6" spans="1:13" s="70" customFormat="1" x14ac:dyDescent="0.2">
      <c r="A6" s="67" t="s">
        <v>382</v>
      </c>
      <c r="B6" s="67"/>
      <c r="C6" s="67"/>
      <c r="D6" s="67"/>
      <c r="E6" s="67"/>
      <c r="F6" s="67"/>
      <c r="G6" s="67"/>
      <c r="H6" s="67"/>
      <c r="I6" s="67"/>
      <c r="J6" s="67"/>
      <c r="K6" s="67"/>
      <c r="L6" s="69"/>
      <c r="M6" s="69"/>
    </row>
    <row r="7" spans="1:13" s="70" customFormat="1" x14ac:dyDescent="0.2">
      <c r="A7" s="67"/>
      <c r="B7" s="67"/>
      <c r="C7" s="67"/>
      <c r="D7" s="67"/>
      <c r="E7" s="67"/>
      <c r="F7" s="67" t="s">
        <v>60</v>
      </c>
      <c r="G7" s="67"/>
      <c r="H7" s="67"/>
      <c r="I7" s="67"/>
      <c r="J7" s="67"/>
      <c r="K7" s="67" t="s">
        <v>246</v>
      </c>
      <c r="L7" s="69"/>
      <c r="M7" s="69"/>
    </row>
    <row r="8" spans="1:13" x14ac:dyDescent="0.2">
      <c r="A8" s="1642" t="s">
        <v>62</v>
      </c>
      <c r="B8" s="1642" t="s">
        <v>63</v>
      </c>
      <c r="C8" s="1642" t="s">
        <v>247</v>
      </c>
      <c r="D8" s="1642" t="s">
        <v>248</v>
      </c>
      <c r="E8" s="1642" t="s">
        <v>222</v>
      </c>
      <c r="F8" s="1642" t="str">
        <f>'5.1'!F9:H9</f>
        <v>Figures as at the end of current reporting period</v>
      </c>
      <c r="G8" s="1642"/>
      <c r="H8" s="1642"/>
      <c r="I8" s="6" t="s">
        <v>383</v>
      </c>
      <c r="J8" s="6" t="s">
        <v>384</v>
      </c>
      <c r="K8" s="1653" t="str">
        <f>'5.1'!K9:M9</f>
        <v>Figures as at the end of previous reporting period</v>
      </c>
      <c r="L8" s="1653"/>
      <c r="M8" s="1653"/>
    </row>
    <row r="9" spans="1:13" ht="85.5" x14ac:dyDescent="0.2">
      <c r="A9" s="1642"/>
      <c r="B9" s="1642"/>
      <c r="C9" s="1642"/>
      <c r="D9" s="1642"/>
      <c r="E9" s="1642"/>
      <c r="F9" s="6" t="s">
        <v>251</v>
      </c>
      <c r="G9" s="6" t="s">
        <v>252</v>
      </c>
      <c r="H9" s="6" t="s">
        <v>253</v>
      </c>
      <c r="I9" s="6"/>
      <c r="J9" s="6"/>
      <c r="K9" s="6" t="str">
        <f t="shared" ref="K9:M10" si="0">F9</f>
        <v>Total Long Term Borrowings</v>
      </c>
      <c r="L9" s="6" t="str">
        <f t="shared" si="0"/>
        <v>Current Maturities of Long term borrowings i.e. other Current Liabilites</v>
      </c>
      <c r="M9" s="6" t="str">
        <f t="shared" si="0"/>
        <v>Non Current Liabilities - Long Term Borrowings</v>
      </c>
    </row>
    <row r="10" spans="1:13" x14ac:dyDescent="0.2">
      <c r="A10" s="1642"/>
      <c r="B10" s="1642"/>
      <c r="C10" s="1642"/>
      <c r="D10" s="1642"/>
      <c r="E10" s="1642"/>
      <c r="F10" s="6" t="s">
        <v>156</v>
      </c>
      <c r="G10" s="6" t="s">
        <v>192</v>
      </c>
      <c r="H10" s="6" t="s">
        <v>254</v>
      </c>
      <c r="I10" s="6"/>
      <c r="J10" s="6"/>
      <c r="K10" s="41" t="str">
        <f t="shared" si="0"/>
        <v>(A)</v>
      </c>
      <c r="L10" s="6" t="str">
        <f t="shared" si="0"/>
        <v>(B)</v>
      </c>
      <c r="M10" s="6" t="str">
        <f t="shared" si="0"/>
        <v>(C)=(A)-(B)</v>
      </c>
    </row>
    <row r="11" spans="1:13" x14ac:dyDescent="0.2">
      <c r="A11" s="1642"/>
      <c r="B11" s="1642"/>
      <c r="C11" s="1642"/>
      <c r="D11" s="1642"/>
      <c r="E11" s="1642"/>
      <c r="F11" s="41" t="s">
        <v>223</v>
      </c>
      <c r="G11" s="41" t="str">
        <f>F11</f>
        <v>Rs.</v>
      </c>
      <c r="H11" s="41" t="str">
        <f>G11</f>
        <v>Rs.</v>
      </c>
      <c r="I11" s="41" t="s">
        <v>223</v>
      </c>
      <c r="J11" s="41" t="s">
        <v>223</v>
      </c>
      <c r="K11" s="41" t="str">
        <f>'4'!E8</f>
        <v>Rs.</v>
      </c>
      <c r="L11" s="41" t="str">
        <f>K11</f>
        <v>Rs.</v>
      </c>
      <c r="M11" s="41" t="str">
        <f>L11</f>
        <v>Rs.</v>
      </c>
    </row>
    <row r="12" spans="1:13" ht="60" x14ac:dyDescent="0.2">
      <c r="A12" s="11">
        <v>1</v>
      </c>
      <c r="B12" s="1604" t="s">
        <v>385</v>
      </c>
      <c r="C12" s="1614">
        <v>41106</v>
      </c>
      <c r="D12" s="1614">
        <v>45290</v>
      </c>
      <c r="E12" s="1624" t="s">
        <v>386</v>
      </c>
      <c r="F12" s="10">
        <v>13.2245039</v>
      </c>
      <c r="G12" s="10">
        <v>13.2245039</v>
      </c>
      <c r="H12" s="10">
        <v>0</v>
      </c>
      <c r="I12" s="10"/>
      <c r="J12" s="10"/>
      <c r="K12" s="12">
        <v>208.43267589999999</v>
      </c>
      <c r="L12" s="12">
        <v>102.80868839999999</v>
      </c>
      <c r="M12" s="12">
        <v>105.6239875</v>
      </c>
    </row>
    <row r="13" spans="1:13" ht="75" x14ac:dyDescent="0.2">
      <c r="A13" s="45">
        <v>2</v>
      </c>
      <c r="B13" s="1604" t="s">
        <v>387</v>
      </c>
      <c r="C13" s="1614">
        <v>40256</v>
      </c>
      <c r="D13" s="1614">
        <v>50936</v>
      </c>
      <c r="E13" s="1625" t="s">
        <v>388</v>
      </c>
      <c r="F13" s="64">
        <v>270.909092736925</v>
      </c>
      <c r="G13" s="64">
        <v>15.5035446</v>
      </c>
      <c r="H13" s="64">
        <v>255.40554813692501</v>
      </c>
      <c r="I13" s="10"/>
      <c r="J13" s="10"/>
      <c r="K13" s="12">
        <v>264.06580250000002</v>
      </c>
      <c r="L13" s="12">
        <v>14.7634606</v>
      </c>
      <c r="M13" s="12">
        <v>249.30234190000002</v>
      </c>
    </row>
    <row r="14" spans="1:13" x14ac:dyDescent="0.2">
      <c r="A14" s="45">
        <v>3</v>
      </c>
      <c r="B14" s="1604" t="s">
        <v>385</v>
      </c>
      <c r="C14" s="1614"/>
      <c r="D14" s="1614"/>
      <c r="E14" s="1625"/>
      <c r="F14" s="64">
        <v>110.30695780000001</v>
      </c>
      <c r="G14" s="64">
        <v>110.31</v>
      </c>
      <c r="H14" s="64">
        <v>-3.0421999999958871E-3</v>
      </c>
      <c r="I14" s="10"/>
      <c r="J14" s="10"/>
      <c r="K14" s="12"/>
      <c r="L14" s="12"/>
      <c r="M14" s="12"/>
    </row>
    <row r="15" spans="1:13" ht="45" x14ac:dyDescent="0.2">
      <c r="A15" s="45">
        <v>4</v>
      </c>
      <c r="B15" s="1604" t="s">
        <v>389</v>
      </c>
      <c r="C15" s="65"/>
      <c r="D15" s="65"/>
      <c r="E15" s="1625" t="s">
        <v>390</v>
      </c>
      <c r="F15" s="64">
        <v>160.77756410000001</v>
      </c>
      <c r="G15" s="64">
        <v>4.2996131999999996</v>
      </c>
      <c r="H15" s="64">
        <v>156.4779509</v>
      </c>
      <c r="I15" s="10"/>
      <c r="J15" s="10"/>
      <c r="K15" s="12">
        <v>169.86193449999999</v>
      </c>
      <c r="L15" s="12">
        <v>4.2996131999999996</v>
      </c>
      <c r="M15" s="12">
        <v>165.56232129999998</v>
      </c>
    </row>
    <row r="16" spans="1:13" x14ac:dyDescent="0.2">
      <c r="A16" s="45">
        <v>5</v>
      </c>
      <c r="B16" s="44" t="s">
        <v>391</v>
      </c>
      <c r="C16" s="65"/>
      <c r="D16" s="65"/>
      <c r="E16" s="58" t="s">
        <v>392</v>
      </c>
      <c r="F16" s="64">
        <v>4.0669728000000003</v>
      </c>
      <c r="G16" s="64">
        <v>0</v>
      </c>
      <c r="H16" s="64">
        <v>4.0669728000000003</v>
      </c>
      <c r="I16" s="10"/>
      <c r="J16" s="10"/>
      <c r="K16" s="64"/>
      <c r="L16" s="64"/>
      <c r="M16" s="64"/>
    </row>
    <row r="17" spans="1:13" x14ac:dyDescent="0.2">
      <c r="A17" s="11"/>
      <c r="B17" s="10" t="s">
        <v>393</v>
      </c>
      <c r="C17" s="65"/>
      <c r="D17" s="65"/>
      <c r="E17" s="58"/>
      <c r="F17" s="63"/>
      <c r="G17" s="63"/>
      <c r="H17" s="63"/>
      <c r="I17" s="9"/>
      <c r="J17" s="9"/>
      <c r="K17" s="63"/>
      <c r="L17" s="63"/>
      <c r="M17" s="63"/>
    </row>
    <row r="18" spans="1:13" x14ac:dyDescent="0.2">
      <c r="A18" s="8"/>
      <c r="B18" s="40" t="s">
        <v>92</v>
      </c>
      <c r="C18" s="65"/>
      <c r="D18" s="65"/>
      <c r="E18" s="58"/>
      <c r="F18" s="1593">
        <f>SUM(F12:F17)</f>
        <v>559.28509133692501</v>
      </c>
      <c r="G18" s="1593">
        <f t="shared" ref="G18:H18" si="1">SUM(G12:G17)</f>
        <v>143.33766170000001</v>
      </c>
      <c r="H18" s="1593">
        <f t="shared" si="1"/>
        <v>415.94742963692499</v>
      </c>
      <c r="I18" s="16"/>
      <c r="J18" s="16"/>
      <c r="K18" s="1593">
        <f>SUM(K12:K17)</f>
        <v>642.36041290000003</v>
      </c>
      <c r="L18" s="1593">
        <f t="shared" ref="L18:M18" si="2">SUM(L12:L17)</f>
        <v>121.87176219999999</v>
      </c>
      <c r="M18" s="1593">
        <f t="shared" si="2"/>
        <v>520.48865069999999</v>
      </c>
    </row>
    <row r="19" spans="1:13" x14ac:dyDescent="0.2">
      <c r="A19" s="67"/>
      <c r="E19" s="3"/>
      <c r="G19" s="68"/>
      <c r="H19" s="68"/>
      <c r="I19" s="68"/>
      <c r="J19" s="68"/>
      <c r="K19" s="68"/>
    </row>
    <row r="20" spans="1:13" x14ac:dyDescent="0.2">
      <c r="A20" s="5" t="s">
        <v>243</v>
      </c>
      <c r="B20" s="3" t="s">
        <v>153</v>
      </c>
    </row>
  </sheetData>
  <mergeCells count="9">
    <mergeCell ref="B2:M2"/>
    <mergeCell ref="F8:H8"/>
    <mergeCell ref="A5:M5"/>
    <mergeCell ref="C8:C11"/>
    <mergeCell ref="D8:D11"/>
    <mergeCell ref="K8:M8"/>
    <mergeCell ref="A8:A11"/>
    <mergeCell ref="B8:B11"/>
    <mergeCell ref="E8:E11"/>
  </mergeCells>
  <printOptions horizontalCentered="1"/>
  <pageMargins left="0.78740157480314965" right="0.39370078740157483" top="0.78740157480314965" bottom="0.19685039370078741" header="0.31496062992125984" footer="0.31496062992125984"/>
  <pageSetup paperSize="9"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2:I33"/>
  <sheetViews>
    <sheetView showGridLines="0" view="pageBreakPreview" zoomScale="80" zoomScaleSheetLayoutView="80" zoomScalePageLayoutView="80" workbookViewId="0">
      <selection activeCell="D29" sqref="D29"/>
    </sheetView>
  </sheetViews>
  <sheetFormatPr defaultColWidth="9.140625" defaultRowHeight="15" x14ac:dyDescent="0.2"/>
  <cols>
    <col min="1" max="1" width="9" style="4" customWidth="1"/>
    <col min="2" max="2" width="28.42578125" style="3" customWidth="1"/>
    <col min="3" max="3" width="11" style="4" customWidth="1"/>
    <col min="4" max="4" width="24.7109375" style="3" customWidth="1"/>
    <col min="5" max="5" width="26.7109375" style="3" customWidth="1"/>
    <col min="6" max="9" width="15.140625" style="3" bestFit="1" customWidth="1"/>
    <col min="10" max="16384" width="9.140625" style="3"/>
  </cols>
  <sheetData>
    <row r="2" spans="1:7" x14ac:dyDescent="0.2">
      <c r="A2" s="1643" t="s">
        <v>0</v>
      </c>
      <c r="B2" s="1643"/>
      <c r="C2" s="1643"/>
      <c r="D2" s="1643"/>
      <c r="E2" s="1643"/>
    </row>
    <row r="3" spans="1:7" x14ac:dyDescent="0.2">
      <c r="C3" s="1" t="s">
        <v>1</v>
      </c>
    </row>
    <row r="6" spans="1:7" x14ac:dyDescent="0.2">
      <c r="A6" s="49" t="s">
        <v>394</v>
      </c>
    </row>
    <row r="7" spans="1:7" x14ac:dyDescent="0.2">
      <c r="A7" s="49"/>
      <c r="E7" s="5"/>
    </row>
    <row r="8" spans="1:7" ht="28.5" x14ac:dyDescent="0.2">
      <c r="A8" s="1642" t="s">
        <v>62</v>
      </c>
      <c r="B8" s="1642" t="s">
        <v>63</v>
      </c>
      <c r="C8" s="1642" t="s">
        <v>395</v>
      </c>
      <c r="D8" s="80" t="s">
        <v>65</v>
      </c>
      <c r="E8" s="80" t="s">
        <v>66</v>
      </c>
    </row>
    <row r="9" spans="1:7" x14ac:dyDescent="0.2">
      <c r="A9" s="1642"/>
      <c r="B9" s="1642"/>
      <c r="C9" s="1642"/>
      <c r="D9" s="6" t="s">
        <v>223</v>
      </c>
      <c r="E9" s="6" t="s">
        <v>223</v>
      </c>
    </row>
    <row r="10" spans="1:7" x14ac:dyDescent="0.2">
      <c r="A10" s="11">
        <v>1</v>
      </c>
      <c r="B10" s="44" t="s">
        <v>396</v>
      </c>
      <c r="C10" s="71"/>
      <c r="D10" s="14"/>
      <c r="E10" s="14"/>
    </row>
    <row r="11" spans="1:7" x14ac:dyDescent="0.2">
      <c r="A11" s="11"/>
      <c r="B11" s="10"/>
      <c r="C11" s="72"/>
      <c r="D11" s="73"/>
      <c r="E11" s="73"/>
    </row>
    <row r="12" spans="1:7" x14ac:dyDescent="0.2">
      <c r="A12" s="11">
        <v>2</v>
      </c>
      <c r="B12" s="10" t="s">
        <v>397</v>
      </c>
      <c r="C12" s="74"/>
      <c r="D12" s="14"/>
      <c r="E12" s="14"/>
    </row>
    <row r="13" spans="1:7" x14ac:dyDescent="0.2">
      <c r="A13" s="16"/>
      <c r="B13" s="10" t="s">
        <v>398</v>
      </c>
      <c r="C13" s="74"/>
      <c r="D13" s="35">
        <f>+'Balance Sheet and P&amp;L'!D282</f>
        <v>364.96133279999998</v>
      </c>
      <c r="E13" s="35">
        <f>+'Balance Sheet and P&amp;L'!E282</f>
        <v>0</v>
      </c>
      <c r="G13" s="52"/>
    </row>
    <row r="14" spans="1:7" x14ac:dyDescent="0.2">
      <c r="A14" s="16"/>
      <c r="B14" s="10" t="s">
        <v>399</v>
      </c>
      <c r="C14" s="74"/>
      <c r="D14" s="35">
        <f>+'Balance Sheet and P&amp;L'!D284</f>
        <v>289.71240933900009</v>
      </c>
      <c r="E14" s="35">
        <f>+'Balance Sheet and P&amp;L'!E284</f>
        <v>289.46240933900003</v>
      </c>
      <c r="G14" s="52"/>
    </row>
    <row r="15" spans="1:7" x14ac:dyDescent="0.2">
      <c r="A15" s="16"/>
      <c r="B15" s="43" t="s">
        <v>176</v>
      </c>
      <c r="C15" s="138"/>
      <c r="D15" s="139"/>
      <c r="E15" s="139"/>
    </row>
    <row r="16" spans="1:7" x14ac:dyDescent="0.2">
      <c r="A16" s="140"/>
      <c r="B16" s="103" t="s">
        <v>92</v>
      </c>
      <c r="C16" s="103"/>
      <c r="D16" s="1589">
        <f>SUM(D13:D15)</f>
        <v>654.67374213900007</v>
      </c>
      <c r="E16" s="1589">
        <f>SUM(E13:E15)</f>
        <v>289.46240933900003</v>
      </c>
    </row>
    <row r="17" spans="1:9" x14ac:dyDescent="0.2">
      <c r="A17" s="76"/>
      <c r="B17" s="136"/>
      <c r="C17" s="136"/>
      <c r="D17" s="136"/>
      <c r="E17" s="136"/>
    </row>
    <row r="19" spans="1:9" x14ac:dyDescent="0.2">
      <c r="A19" s="1640" t="s">
        <v>400</v>
      </c>
      <c r="B19" s="1640"/>
      <c r="C19" s="1640"/>
      <c r="D19" s="1640"/>
    </row>
    <row r="20" spans="1:9" x14ac:dyDescent="0.2">
      <c r="A20" s="49"/>
      <c r="B20" s="49"/>
      <c r="C20" s="49"/>
      <c r="D20" s="49"/>
      <c r="E20" s="5"/>
    </row>
    <row r="21" spans="1:9" ht="28.5" x14ac:dyDescent="0.2">
      <c r="A21" s="1642" t="s">
        <v>62</v>
      </c>
      <c r="B21" s="1642" t="s">
        <v>63</v>
      </c>
      <c r="C21" s="1642" t="s">
        <v>222</v>
      </c>
      <c r="D21" s="80" t="s">
        <v>65</v>
      </c>
      <c r="E21" s="80" t="s">
        <v>66</v>
      </c>
    </row>
    <row r="22" spans="1:9" x14ac:dyDescent="0.2">
      <c r="A22" s="1642"/>
      <c r="B22" s="1642"/>
      <c r="C22" s="1642"/>
      <c r="D22" s="6" t="s">
        <v>223</v>
      </c>
      <c r="E22" s="6" t="s">
        <v>223</v>
      </c>
    </row>
    <row r="23" spans="1:9" x14ac:dyDescent="0.2">
      <c r="A23" s="11">
        <v>1</v>
      </c>
      <c r="B23" s="44" t="s">
        <v>401</v>
      </c>
      <c r="C23" s="81"/>
      <c r="D23" s="35">
        <f>+'Balance Sheet and P&amp;L'!D277</f>
        <v>558.20255659999998</v>
      </c>
      <c r="E23" s="35">
        <f>+'Balance Sheet and P&amp;L'!E277</f>
        <v>539.47256479999999</v>
      </c>
    </row>
    <row r="24" spans="1:9" ht="30" x14ac:dyDescent="0.2">
      <c r="A24" s="11">
        <v>2</v>
      </c>
      <c r="B24" s="44" t="s">
        <v>402</v>
      </c>
      <c r="C24" s="81"/>
      <c r="D24" s="35">
        <f>+'Balance Sheet and P&amp;L'!D278</f>
        <v>595.24605069999996</v>
      </c>
      <c r="E24" s="35">
        <f>+'Balance Sheet and P&amp;L'!E278</f>
        <v>572.06474839999998</v>
      </c>
    </row>
    <row r="25" spans="1:9" x14ac:dyDescent="0.2">
      <c r="A25" s="11">
        <v>3</v>
      </c>
      <c r="B25" s="44" t="s">
        <v>176</v>
      </c>
      <c r="C25" s="81"/>
      <c r="D25" s="35"/>
      <c r="E25" s="35"/>
    </row>
    <row r="26" spans="1:9" x14ac:dyDescent="0.2">
      <c r="A26" s="11">
        <v>4</v>
      </c>
      <c r="B26" s="44" t="s">
        <v>176</v>
      </c>
      <c r="C26" s="81"/>
      <c r="D26" s="35"/>
      <c r="E26" s="35"/>
    </row>
    <row r="27" spans="1:9" x14ac:dyDescent="0.2">
      <c r="A27" s="10"/>
      <c r="B27" s="21" t="s">
        <v>92</v>
      </c>
      <c r="C27" s="75"/>
      <c r="D27" s="1595">
        <f>SUM(D23:D26)</f>
        <v>1153.4486072999998</v>
      </c>
      <c r="E27" s="1595">
        <f>SUM(E23:E26)</f>
        <v>1111.5373132</v>
      </c>
      <c r="F27" s="18"/>
      <c r="G27" s="18"/>
      <c r="H27" s="18"/>
      <c r="I27" s="18"/>
    </row>
    <row r="28" spans="1:9" x14ac:dyDescent="0.2">
      <c r="A28" s="79"/>
      <c r="B28" s="1655"/>
      <c r="C28" s="1655"/>
      <c r="D28" s="1655"/>
      <c r="E28" s="1655"/>
    </row>
    <row r="29" spans="1:9" x14ac:dyDescent="0.2">
      <c r="A29" s="11"/>
      <c r="B29" s="10" t="s">
        <v>83</v>
      </c>
      <c r="C29" s="11"/>
      <c r="D29" s="12">
        <f>+'Balance Sheet and P&amp;L'!D45</f>
        <v>334.28806329999998</v>
      </c>
      <c r="E29" s="12">
        <f>+'Balance Sheet and P&amp;L'!E45</f>
        <v>556.66773599999999</v>
      </c>
    </row>
    <row r="33" spans="1:2" x14ac:dyDescent="0.2">
      <c r="A33" s="5" t="s">
        <v>243</v>
      </c>
      <c r="B33" s="3" t="s">
        <v>153</v>
      </c>
    </row>
  </sheetData>
  <mergeCells count="9">
    <mergeCell ref="A2:E2"/>
    <mergeCell ref="B8:B9"/>
    <mergeCell ref="C8:C9"/>
    <mergeCell ref="B28:E28"/>
    <mergeCell ref="A19:D19"/>
    <mergeCell ref="A21:A22"/>
    <mergeCell ref="B21:B22"/>
    <mergeCell ref="C21:C22"/>
    <mergeCell ref="A8:A9"/>
  </mergeCells>
  <printOptions horizontalCentered="1"/>
  <pageMargins left="0.78740157480314965" right="0.39370078740157483" top="0.78740157480314965" bottom="0.19685039370078741"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30</vt:i4>
      </vt:variant>
    </vt:vector>
  </HeadingPairs>
  <TitlesOfParts>
    <vt:vector size="69" baseType="lpstr">
      <vt:lpstr>Index</vt:lpstr>
      <vt:lpstr>Balance sheet</vt:lpstr>
      <vt:lpstr>Profit loss</vt:lpstr>
      <vt:lpstr>CashFlow</vt:lpstr>
      <vt:lpstr>3</vt:lpstr>
      <vt:lpstr>4</vt:lpstr>
      <vt:lpstr>5.1</vt:lpstr>
      <vt:lpstr>5.2</vt:lpstr>
      <vt:lpstr>6 &amp; 7</vt:lpstr>
      <vt:lpstr>8</vt:lpstr>
      <vt:lpstr>9</vt:lpstr>
      <vt:lpstr>10</vt:lpstr>
      <vt:lpstr>11</vt:lpstr>
      <vt:lpstr>12</vt:lpstr>
      <vt:lpstr>13</vt:lpstr>
      <vt:lpstr>14</vt:lpstr>
      <vt:lpstr>15</vt:lpstr>
      <vt:lpstr>16 &amp; 17</vt:lpstr>
      <vt:lpstr>18</vt:lpstr>
      <vt:lpstr>19</vt:lpstr>
      <vt:lpstr>20 &amp; 21</vt:lpstr>
      <vt:lpstr>22 &amp; 22.1</vt:lpstr>
      <vt:lpstr>23</vt:lpstr>
      <vt:lpstr>24 &amp; 25</vt:lpstr>
      <vt:lpstr>26</vt:lpstr>
      <vt:lpstr>27</vt:lpstr>
      <vt:lpstr>28 &amp; 29</vt:lpstr>
      <vt:lpstr>30</vt:lpstr>
      <vt:lpstr>Balance Sheet and P&amp;L</vt:lpstr>
      <vt:lpstr>balance sheet grouping</vt:lpstr>
      <vt:lpstr>p &amp; l grouping</vt:lpstr>
      <vt:lpstr>Statement of changes in equity</vt:lpstr>
      <vt:lpstr>CFS</vt:lpstr>
      <vt:lpstr>Share Capital</vt:lpstr>
      <vt:lpstr>FA Final</vt:lpstr>
      <vt:lpstr>Note 1A</vt:lpstr>
      <vt:lpstr>cwip (2)</vt:lpstr>
      <vt:lpstr>Rep LT</vt:lpstr>
      <vt:lpstr>Rep terms ST</vt:lpstr>
      <vt:lpstr>___INDEX_SHEET___ASAP_Utilities</vt:lpstr>
      <vt:lpstr>'10'!Print_Area</vt:lpstr>
      <vt:lpstr>'11'!Print_Area</vt:lpstr>
      <vt:lpstr>'12'!Print_Area</vt:lpstr>
      <vt:lpstr>'13'!Print_Area</vt:lpstr>
      <vt:lpstr>'14'!Print_Area</vt:lpstr>
      <vt:lpstr>'15'!Print_Area</vt:lpstr>
      <vt:lpstr>'16 &amp; 17'!Print_Area</vt:lpstr>
      <vt:lpstr>'18'!Print_Area</vt:lpstr>
      <vt:lpstr>'19'!Print_Area</vt:lpstr>
      <vt:lpstr>'20 &amp; 21'!Print_Area</vt:lpstr>
      <vt:lpstr>'22 &amp; 22.1'!Print_Area</vt:lpstr>
      <vt:lpstr>'23'!Print_Area</vt:lpstr>
      <vt:lpstr>'24 &amp; 25'!Print_Area</vt:lpstr>
      <vt:lpstr>'26'!Print_Area</vt:lpstr>
      <vt:lpstr>'27'!Print_Area</vt:lpstr>
      <vt:lpstr>'28 &amp; 29'!Print_Area</vt:lpstr>
      <vt:lpstr>'3'!Print_Area</vt:lpstr>
      <vt:lpstr>'30'!Print_Area</vt:lpstr>
      <vt:lpstr>'4'!Print_Area</vt:lpstr>
      <vt:lpstr>'5.1'!Print_Area</vt:lpstr>
      <vt:lpstr>'5.2'!Print_Area</vt:lpstr>
      <vt:lpstr>'6 &amp; 7'!Print_Area</vt:lpstr>
      <vt:lpstr>'8'!Print_Area</vt:lpstr>
      <vt:lpstr>'9'!Print_Area</vt:lpstr>
      <vt:lpstr>'Balance sheet'!Print_Area</vt:lpstr>
      <vt:lpstr>CashFlow!Print_Area</vt:lpstr>
      <vt:lpstr>Index!Print_Area</vt:lpstr>
      <vt:lpstr>'Profit loss'!Print_Area</vt:lpstr>
      <vt:lpstr>'30'!Print_Titles</vt:lpstr>
    </vt:vector>
  </TitlesOfParts>
  <Manager>Sanju</Manager>
  <Company>tinda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Balance Sheet of PSEB</dc:title>
  <dc:subject>Balance sheet</dc:subject>
  <dc:creator>Sanu</dc:creator>
  <cp:keywords/>
  <dc:description/>
  <cp:lastModifiedBy>Prajakta Kulkarni</cp:lastModifiedBy>
  <cp:revision/>
  <dcterms:created xsi:type="dcterms:W3CDTF">2003-01-27T13:59:02Z</dcterms:created>
  <dcterms:modified xsi:type="dcterms:W3CDTF">2024-11-18T10:58:57Z</dcterms:modified>
  <cp:category>imp</cp:category>
  <cp:contentStatus/>
</cp:coreProperties>
</file>